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04051E67-2602-4E93-8578-901EAFDEDB5A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73" i="17" l="1"/>
  <c r="V173" i="17"/>
  <c r="T173" i="17"/>
  <c r="AP1" i="10"/>
  <c r="AP16" i="10" s="1"/>
  <c r="AP1" i="5"/>
  <c r="AP15" i="5" s="1"/>
  <c r="AP1" i="7"/>
  <c r="AP1" i="8"/>
  <c r="AP18" i="8" s="1"/>
  <c r="AP1" i="6"/>
  <c r="AP15" i="6" s="1"/>
  <c r="AP1" i="15"/>
  <c r="AP15" i="15" s="1"/>
  <c r="AP1" i="3"/>
  <c r="AP1" i="12"/>
  <c r="AP1" i="13"/>
  <c r="AP18" i="13" s="1"/>
  <c r="AP1" i="1"/>
  <c r="AP17" i="1" s="1"/>
  <c r="AP1" i="23"/>
  <c r="AP1" i="9"/>
  <c r="AP1" i="16"/>
  <c r="AP17" i="16" s="1"/>
  <c r="AP1" i="4"/>
  <c r="AP14" i="4" s="1"/>
  <c r="AP11" i="10" l="1"/>
  <c r="AP8" i="10"/>
  <c r="AP7" i="10"/>
  <c r="AP18" i="4"/>
  <c r="AP6" i="4"/>
  <c r="AP17" i="4"/>
  <c r="AP16" i="4"/>
  <c r="AP14" i="15"/>
  <c r="AP16" i="5"/>
  <c r="AP6" i="7"/>
  <c r="AP8" i="7"/>
  <c r="AP10" i="6"/>
  <c r="AP10" i="7"/>
  <c r="AP14" i="6"/>
  <c r="AP17" i="6"/>
  <c r="AP18" i="5"/>
  <c r="AP17" i="12"/>
  <c r="AP9" i="9"/>
  <c r="AP16" i="9"/>
  <c r="AP18" i="6"/>
  <c r="AP16" i="15"/>
  <c r="AP18" i="23"/>
  <c r="AP17" i="23"/>
  <c r="AP17" i="15"/>
  <c r="AP17" i="9"/>
  <c r="AP17" i="5"/>
  <c r="AP18" i="15"/>
  <c r="AP8" i="12"/>
  <c r="AP18" i="9"/>
  <c r="AP7" i="23"/>
  <c r="AP17" i="7"/>
  <c r="AP4" i="7"/>
  <c r="AP18" i="7"/>
  <c r="AP11" i="12"/>
  <c r="AP9" i="23"/>
  <c r="AP7" i="3"/>
  <c r="AP10" i="23"/>
  <c r="AP9" i="16"/>
  <c r="AP13" i="6"/>
  <c r="AP18" i="3"/>
  <c r="AP9" i="7"/>
  <c r="AP16" i="6"/>
  <c r="AP18" i="12"/>
  <c r="AP18" i="1"/>
  <c r="AP18" i="16"/>
  <c r="AP14" i="16"/>
  <c r="AP15" i="16"/>
  <c r="AP16" i="16"/>
  <c r="AP12" i="9"/>
  <c r="AP15" i="1"/>
  <c r="AP16" i="1"/>
  <c r="AP16" i="13"/>
  <c r="AP10" i="13"/>
  <c r="AP14" i="13"/>
  <c r="AP17" i="13"/>
  <c r="AP15" i="13"/>
  <c r="AP12" i="12"/>
  <c r="AP13" i="3"/>
  <c r="AP4" i="3"/>
  <c r="AP14" i="8"/>
  <c r="AP16" i="8"/>
  <c r="AP17" i="8"/>
  <c r="AP12" i="7"/>
  <c r="W19" i="3" l="1"/>
  <c r="X19" i="3"/>
  <c r="T112" i="17"/>
  <c r="U112" i="17"/>
  <c r="R16" i="17"/>
  <c r="T16" i="17"/>
  <c r="W19" i="4"/>
  <c r="U19" i="4"/>
  <c r="S10" i="13"/>
  <c r="E175" i="17" l="1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U173" i="17"/>
  <c r="X173" i="17"/>
  <c r="Y173" i="17"/>
  <c r="Y174" i="17" s="1"/>
  <c r="Z173" i="17"/>
  <c r="Z174" i="17" s="1"/>
  <c r="AA173" i="17"/>
  <c r="AA174" i="17" s="1"/>
  <c r="AB173" i="17"/>
  <c r="AB174" i="17" s="1"/>
  <c r="AC173" i="17"/>
  <c r="AC174" i="17" s="1"/>
  <c r="AD173" i="17"/>
  <c r="AD174" i="17" s="1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73" i="17" l="1"/>
  <c r="A191" i="17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X174" i="17" l="1"/>
  <c r="W174" i="17"/>
  <c r="V174" i="17"/>
  <c r="U174" i="17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M5" i="10" s="1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P9" i="3"/>
  <c r="Q9" i="3"/>
  <c r="P10" i="3"/>
  <c r="Q10" i="3"/>
  <c r="P11" i="3"/>
  <c r="Q11" i="3"/>
  <c r="P12" i="3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Q16" i="12"/>
  <c r="P17" i="12"/>
  <c r="R17" i="12" s="1"/>
  <c r="Q17" i="12"/>
  <c r="P18" i="12"/>
  <c r="AL18" i="12" s="1"/>
  <c r="Q18" i="12"/>
  <c r="AM18" i="12" s="1"/>
  <c r="P5" i="13"/>
  <c r="Q5" i="13"/>
  <c r="P6" i="13"/>
  <c r="Q6" i="13"/>
  <c r="P7" i="13"/>
  <c r="Q7" i="13"/>
  <c r="P8" i="13"/>
  <c r="Q8" i="13"/>
  <c r="P9" i="13"/>
  <c r="Q9" i="13"/>
  <c r="P10" i="13"/>
  <c r="Q10" i="13"/>
  <c r="P11" i="13"/>
  <c r="Q11" i="13"/>
  <c r="P12" i="13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M8" i="3" l="1"/>
  <c r="AP8" i="3" s="1"/>
  <c r="AL12" i="13"/>
  <c r="AL6" i="13"/>
  <c r="AL13" i="7"/>
  <c r="AL6" i="1"/>
  <c r="AL11" i="1"/>
  <c r="AL10" i="3"/>
  <c r="AL12" i="3"/>
  <c r="AM15" i="8"/>
  <c r="AL16" i="12"/>
  <c r="C173" i="17" s="1"/>
  <c r="AL12" i="8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L12" i="5"/>
  <c r="C47" i="17" s="1"/>
  <c r="AJ5" i="12"/>
  <c r="AM11" i="8"/>
  <c r="AM5" i="8"/>
  <c r="AP5" i="8" s="1"/>
  <c r="AL5" i="3"/>
  <c r="C99" i="17" s="1"/>
  <c r="AM10" i="1"/>
  <c r="AM6" i="8"/>
  <c r="AP6" i="8" s="1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P13" i="7" s="1"/>
  <c r="AM12" i="13"/>
  <c r="AM6" i="13"/>
  <c r="AP6" i="13" s="1"/>
  <c r="AM10" i="5"/>
  <c r="AJ15" i="3"/>
  <c r="AM14" i="3"/>
  <c r="AJ14" i="3"/>
  <c r="AJ12" i="3"/>
  <c r="AM8" i="23"/>
  <c r="R10" i="23"/>
  <c r="AL8" i="23"/>
  <c r="AM13" i="23"/>
  <c r="AM11" i="23"/>
  <c r="AP11" i="23" s="1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P10" i="4" s="1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P12" i="5" s="1"/>
  <c r="AM6" i="5"/>
  <c r="AL11" i="7"/>
  <c r="S6" i="6"/>
  <c r="AM6" i="15"/>
  <c r="AM10" i="15"/>
  <c r="AP10" i="15" s="1"/>
  <c r="AJ8" i="15"/>
  <c r="AM11" i="15"/>
  <c r="AM5" i="15"/>
  <c r="AJ12" i="15"/>
  <c r="AJ6" i="15"/>
  <c r="AM12" i="3"/>
  <c r="AM5" i="3"/>
  <c r="AM16" i="3"/>
  <c r="AM15" i="3"/>
  <c r="AM9" i="3"/>
  <c r="AM13" i="12"/>
  <c r="AM12" i="23"/>
  <c r="AM6" i="23"/>
  <c r="AM14" i="9"/>
  <c r="AM5" i="9"/>
  <c r="AP5" i="9" s="1"/>
  <c r="AM10" i="9"/>
  <c r="AM15" i="9"/>
  <c r="AP15" i="9" s="1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AP4" i="16" s="1"/>
  <c r="R5" i="16"/>
  <c r="R11" i="16"/>
  <c r="AM7" i="16"/>
  <c r="AP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P7" i="1" s="1"/>
  <c r="AM5" i="1"/>
  <c r="AL18" i="1"/>
  <c r="AO18" i="1" s="1"/>
  <c r="AM18" i="1"/>
  <c r="AJ9" i="13"/>
  <c r="AM8" i="13"/>
  <c r="AJ13" i="13"/>
  <c r="AJ7" i="13"/>
  <c r="AM13" i="13"/>
  <c r="AP13" i="13" s="1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P12" i="10" s="1"/>
  <c r="AM17" i="10"/>
  <c r="AM9" i="4"/>
  <c r="AP9" i="4" s="1"/>
  <c r="AM8" i="10"/>
  <c r="AM14" i="10"/>
  <c r="AP14" i="10" s="1"/>
  <c r="AL10" i="10"/>
  <c r="AL9" i="10"/>
  <c r="AJ6" i="10"/>
  <c r="AJ5" i="10"/>
  <c r="C23" i="17"/>
  <c r="F52" i="19"/>
  <c r="C111" i="17"/>
  <c r="C107" i="17"/>
  <c r="C104" i="17"/>
  <c r="C102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P10" i="16" s="1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P12" i="16" s="1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P8" i="9" s="1"/>
  <c r="AL14" i="9"/>
  <c r="R9" i="1"/>
  <c r="AL15" i="1"/>
  <c r="AO15" i="1" s="1"/>
  <c r="AM9" i="1"/>
  <c r="AP9" i="1" s="1"/>
  <c r="AM15" i="1"/>
  <c r="AM14" i="1"/>
  <c r="AM6" i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P9" i="12" s="1"/>
  <c r="AL15" i="12"/>
  <c r="R16" i="3"/>
  <c r="AL9" i="3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L16" i="10"/>
  <c r="AM10" i="10"/>
  <c r="AL11" i="10"/>
  <c r="C27" i="17" s="1"/>
  <c r="AL15" i="10"/>
  <c r="C31" i="17" s="1"/>
  <c r="AM16" i="10"/>
  <c r="AL14" i="4"/>
  <c r="C14" i="17" s="1"/>
  <c r="AM13" i="4"/>
  <c r="AP13" i="4" s="1"/>
  <c r="AM7" i="4"/>
  <c r="AP7" i="4" s="1"/>
  <c r="AL13" i="4"/>
  <c r="C13" i="17" s="1"/>
  <c r="AL18" i="4"/>
  <c r="AM8" i="4"/>
  <c r="AJ14" i="16"/>
  <c r="AL9" i="16"/>
  <c r="R9" i="12"/>
  <c r="R11" i="12"/>
  <c r="S13" i="12"/>
  <c r="R13" i="23"/>
  <c r="AM15" i="4"/>
  <c r="AP15" i="4" s="1"/>
  <c r="AJ15" i="4"/>
  <c r="AM6" i="3"/>
  <c r="AP6" i="3" s="1"/>
  <c r="AJ6" i="3"/>
  <c r="AM17" i="3"/>
  <c r="R8" i="15"/>
  <c r="AJ12" i="6"/>
  <c r="AM12" i="6"/>
  <c r="AP12" i="6" s="1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AP15" i="7" s="1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AP16" i="7" s="1"/>
  <c r="R11" i="7"/>
  <c r="R7" i="7"/>
  <c r="AM11" i="7"/>
  <c r="AP11" i="7" s="1"/>
  <c r="R18" i="7"/>
  <c r="R14" i="7"/>
  <c r="R10" i="7"/>
  <c r="R6" i="7"/>
  <c r="AL15" i="8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L18" i="6"/>
  <c r="AO18" i="6" s="1"/>
  <c r="R14" i="15"/>
  <c r="R5" i="15"/>
  <c r="AM18" i="15"/>
  <c r="AL18" i="15"/>
  <c r="AN18" i="15" s="1"/>
  <c r="AM13" i="15"/>
  <c r="AP13" i="15" s="1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P15" i="12" s="1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P9" i="13" s="1"/>
  <c r="AL5" i="13"/>
  <c r="AL8" i="1"/>
  <c r="AN8" i="1" s="1"/>
  <c r="AN18" i="1"/>
  <c r="R16" i="1"/>
  <c r="AM12" i="1"/>
  <c r="AP12" i="1" s="1"/>
  <c r="AL12" i="1"/>
  <c r="AM11" i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AP6" i="9" s="1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M10" i="6"/>
  <c r="AM12" i="8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P5" i="7" s="1"/>
  <c r="AN16" i="5"/>
  <c r="AO16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P14" i="23" l="1"/>
  <c r="AP16" i="23"/>
  <c r="AP6" i="23"/>
  <c r="AP14" i="9"/>
  <c r="AP8" i="16"/>
  <c r="AP8" i="6"/>
  <c r="AP9" i="6"/>
  <c r="AP5" i="13"/>
  <c r="AP16" i="3"/>
  <c r="AN17" i="3"/>
  <c r="AP17" i="3"/>
  <c r="AP10" i="8"/>
  <c r="AP12" i="4"/>
  <c r="AP13" i="1"/>
  <c r="AO5" i="15"/>
  <c r="AP5" i="15"/>
  <c r="AP14" i="5"/>
  <c r="AN10" i="5"/>
  <c r="AP10" i="5"/>
  <c r="AO10" i="5"/>
  <c r="AN15" i="8"/>
  <c r="AP7" i="8"/>
  <c r="AP13" i="8"/>
  <c r="AP15" i="23"/>
  <c r="AP8" i="23"/>
  <c r="AP13" i="23"/>
  <c r="AP8" i="4"/>
  <c r="AP7" i="9"/>
  <c r="AP15" i="3"/>
  <c r="AP9" i="3"/>
  <c r="AP14" i="12"/>
  <c r="AP5" i="12"/>
  <c r="AP6" i="12"/>
  <c r="AN14" i="1"/>
  <c r="AP14" i="1"/>
  <c r="AP5" i="1"/>
  <c r="AP8" i="1"/>
  <c r="AN14" i="7"/>
  <c r="AP7" i="15"/>
  <c r="AP6" i="15"/>
  <c r="AP8" i="15"/>
  <c r="AP13" i="16"/>
  <c r="AP10" i="10"/>
  <c r="AP17" i="10"/>
  <c r="AP6" i="5"/>
  <c r="AP8" i="5"/>
  <c r="AP11" i="5"/>
  <c r="AP9" i="5"/>
  <c r="AP13" i="5"/>
  <c r="AP7" i="5"/>
  <c r="AP5" i="5"/>
  <c r="AP5" i="23"/>
  <c r="AP12" i="23"/>
  <c r="AO12" i="13"/>
  <c r="AP12" i="13"/>
  <c r="AP11" i="13"/>
  <c r="AP8" i="13"/>
  <c r="AP7" i="13"/>
  <c r="AP9" i="10"/>
  <c r="AP13" i="10"/>
  <c r="AP15" i="10"/>
  <c r="AP18" i="10"/>
  <c r="AP5" i="16"/>
  <c r="AP11" i="16"/>
  <c r="AP6" i="16"/>
  <c r="AP7" i="7"/>
  <c r="AP14" i="7"/>
  <c r="H11" i="18" s="1"/>
  <c r="AP10" i="1"/>
  <c r="AO6" i="1"/>
  <c r="AP6" i="1"/>
  <c r="AN11" i="1"/>
  <c r="AP11" i="1"/>
  <c r="AP14" i="3"/>
  <c r="AN10" i="3"/>
  <c r="AP10" i="3"/>
  <c r="AN5" i="3"/>
  <c r="AP5" i="3"/>
  <c r="AO12" i="3"/>
  <c r="AP12" i="3"/>
  <c r="AP11" i="3"/>
  <c r="AN11" i="8"/>
  <c r="AP11" i="8"/>
  <c r="AO12" i="8"/>
  <c r="AP12" i="8"/>
  <c r="AP8" i="8"/>
  <c r="AN9" i="8"/>
  <c r="AP9" i="8"/>
  <c r="AP15" i="8"/>
  <c r="AP5" i="6"/>
  <c r="AP7" i="6"/>
  <c r="AP11" i="6"/>
  <c r="AN6" i="6"/>
  <c r="AP6" i="6"/>
  <c r="AP5" i="4"/>
  <c r="AP11" i="4"/>
  <c r="AP9" i="15"/>
  <c r="AO11" i="15"/>
  <c r="AP11" i="15"/>
  <c r="AN12" i="15"/>
  <c r="AP12" i="15"/>
  <c r="AP11" i="9"/>
  <c r="AO9" i="12"/>
  <c r="AP13" i="12"/>
  <c r="AO10" i="9"/>
  <c r="AP10" i="9"/>
  <c r="AP13" i="9"/>
  <c r="AO16" i="12"/>
  <c r="AP16" i="12"/>
  <c r="AN16" i="12"/>
  <c r="AP10" i="12"/>
  <c r="AP7" i="12"/>
  <c r="AP6" i="10"/>
  <c r="AP5" i="10"/>
  <c r="AN12" i="10"/>
  <c r="F11" i="18"/>
  <c r="AO12" i="5"/>
  <c r="AN12" i="5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19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F15" i="18" l="1"/>
  <c r="J15" i="18" s="1"/>
  <c r="H15" i="18"/>
  <c r="H13" i="18"/>
  <c r="F13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20" i="18"/>
  <c r="L10" i="18" l="1"/>
  <c r="I15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6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2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P4" i="23" s="1"/>
  <c r="AJ4" i="23"/>
  <c r="C184" i="17"/>
  <c r="C182" i="17"/>
  <c r="C185" i="17"/>
  <c r="AI19" i="23"/>
  <c r="C186" i="17"/>
  <c r="AL4" i="23"/>
  <c r="C178" i="17" s="1"/>
  <c r="H16" i="18" l="1"/>
  <c r="F16" i="18"/>
  <c r="AM19" i="23"/>
  <c r="C188" i="17"/>
  <c r="C193" i="17" s="1"/>
  <c r="AL19" i="23"/>
  <c r="E16" i="18" s="1"/>
  <c r="AJ19" i="23"/>
  <c r="AO4" i="23"/>
  <c r="AN4" i="23"/>
  <c r="R19" i="23"/>
  <c r="AN19" i="23" l="1"/>
  <c r="J19" i="6"/>
  <c r="I19" i="6"/>
  <c r="N19" i="15"/>
  <c r="M19" i="15"/>
  <c r="K19" i="15"/>
  <c r="I19" i="15"/>
  <c r="H19" i="15"/>
  <c r="G19" i="15"/>
  <c r="F19" i="15"/>
  <c r="E19" i="15"/>
  <c r="I16" i="18" l="1"/>
  <c r="J16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7" i="18"/>
  <c r="A9" i="18"/>
  <c r="A15" i="18"/>
  <c r="A11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0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2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P4" i="15" s="1"/>
  <c r="AM4" i="13"/>
  <c r="AP4" i="13" s="1"/>
  <c r="P19" i="12"/>
  <c r="AM4" i="12"/>
  <c r="AM4" i="10"/>
  <c r="AJ4" i="9"/>
  <c r="Q19" i="9"/>
  <c r="AL4" i="9"/>
  <c r="C196" i="17" s="1"/>
  <c r="P19" i="8"/>
  <c r="AM4" i="8"/>
  <c r="AM4" i="7"/>
  <c r="P19" i="6"/>
  <c r="AM4" i="6"/>
  <c r="AP4" i="6" s="1"/>
  <c r="AM4" i="5"/>
  <c r="AP4" i="5" s="1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H9" i="18" l="1"/>
  <c r="F9" i="18"/>
  <c r="AP4" i="9"/>
  <c r="F14" i="18"/>
  <c r="H14" i="18"/>
  <c r="H21" i="18"/>
  <c r="F21" i="18"/>
  <c r="H19" i="18"/>
  <c r="F19" i="18"/>
  <c r="AP4" i="10"/>
  <c r="AP4" i="8"/>
  <c r="AP4" i="12"/>
  <c r="C209" i="17"/>
  <c r="C224" i="17"/>
  <c r="D15" i="18" s="1"/>
  <c r="AI19" i="3"/>
  <c r="K81" i="17"/>
  <c r="P19" i="3"/>
  <c r="Q19" i="3"/>
  <c r="R19" i="13"/>
  <c r="AM19" i="13"/>
  <c r="C140" i="17"/>
  <c r="AL19" i="13"/>
  <c r="E19" i="18" s="1"/>
  <c r="AM4" i="4"/>
  <c r="AP4" i="4" s="1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7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0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8" i="18" l="1"/>
  <c r="H8" i="18"/>
  <c r="F17" i="18"/>
  <c r="H17" i="18"/>
  <c r="F10" i="18"/>
  <c r="H10" i="18"/>
  <c r="H20" i="18"/>
  <c r="F20" i="18"/>
  <c r="I20" i="18" s="1"/>
  <c r="H12" i="18"/>
  <c r="F12" i="18"/>
  <c r="I12" i="18" s="1"/>
  <c r="E15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1" i="18"/>
  <c r="AN19" i="7"/>
  <c r="AN19" i="13"/>
  <c r="AN19" i="12"/>
  <c r="D10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20" i="18" s="1"/>
  <c r="D17" i="18"/>
  <c r="AN19" i="8"/>
  <c r="D16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20" i="18"/>
  <c r="J12" i="18"/>
  <c r="J9" i="18"/>
  <c r="I9" i="18"/>
  <c r="I10" i="18"/>
  <c r="J10" i="18"/>
  <c r="I17" i="18"/>
  <c r="J17" i="18"/>
  <c r="J19" i="18"/>
  <c r="I19" i="18"/>
  <c r="I11" i="18"/>
  <c r="J11" i="18"/>
  <c r="J14" i="18"/>
  <c r="I14" i="18"/>
  <c r="I21" i="18"/>
  <c r="J21" i="18"/>
  <c r="D21" i="18"/>
  <c r="E118" i="22"/>
  <c r="C17" i="17"/>
  <c r="D143" i="22" s="1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9" i="18"/>
  <c r="A18" i="18"/>
  <c r="M81" i="17"/>
  <c r="C113" i="17"/>
  <c r="AN19" i="3"/>
  <c r="AN19" i="4"/>
  <c r="AJ19" i="1"/>
  <c r="AM19" i="1"/>
  <c r="P19" i="1"/>
  <c r="AL4" i="1"/>
  <c r="C146" i="17" s="1"/>
  <c r="C158" i="17" s="1"/>
  <c r="D18" i="18" s="1"/>
  <c r="Q19" i="1"/>
  <c r="AP4" i="1" l="1"/>
  <c r="M18" i="18"/>
  <c r="M19" i="18"/>
  <c r="M14" i="18"/>
  <c r="M11" i="18"/>
  <c r="I13" i="18"/>
  <c r="J13" i="18"/>
  <c r="E88" i="22"/>
  <c r="M17" i="18"/>
  <c r="M21" i="18"/>
  <c r="M10" i="18"/>
  <c r="M13" i="18"/>
  <c r="M9" i="18"/>
  <c r="J20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20" i="18"/>
  <c r="N81" i="17"/>
  <c r="R19" i="1"/>
  <c r="AL19" i="1"/>
  <c r="AO4" i="1"/>
  <c r="AN4" i="1"/>
  <c r="A19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l="1"/>
  <c r="D140" i="22" s="1"/>
  <c r="H18" i="18"/>
  <c r="F18" i="18"/>
  <c r="E143" i="22"/>
  <c r="Q175" i="17"/>
  <c r="R175" i="17" s="1"/>
  <c r="M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8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6" i="18"/>
  <c r="A14" i="18"/>
  <c r="M15" i="18" l="1"/>
  <c r="E106" i="22"/>
  <c r="D141" i="22"/>
  <c r="D106" i="22"/>
  <c r="E104" i="22"/>
  <c r="I18" i="18"/>
  <c r="J18" i="18"/>
  <c r="L18" i="18"/>
  <c r="M16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2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L12" i="18" l="1"/>
  <c r="Y175" i="17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1" i="18"/>
  <c r="L17" i="18"/>
  <c r="L20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<sst xmlns="http://schemas.openxmlformats.org/spreadsheetml/2006/main" count="1114" uniqueCount="375">
  <si>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</si>
  <si>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</si>
  <si>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</si>
  <si>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</si>
  <si>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</si>
  <si>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</si>
  <si>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</si>
  <si>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</si>
  <si>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</si>
  <si>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</si>
  <si>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</si>
  <si>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</si>
  <si>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</si>
  <si>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</si>
  <si>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</si>
  <si>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</si>
  <si>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</si>
  <si>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</si>
  <si>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</si>
  <si>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</si>
  <si>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</si>
  <si>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</si>
  <si>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</si>
  <si>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</si>
  <si>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</si>
  <si>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</si>
  <si>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</si>
  <si>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</si>
  <si>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</si>
  <si>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</si>
  <si>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</si>
  <si>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</si>
  <si>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</si>
  <si>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</si>
  <si>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</si>
  <si>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</si>
  <si>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</si>
  <si>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</si>
  <si>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</si>
  <si>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</si>
  <si>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</si>
  <si>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</si>
  <si>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</si>
  <si>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</si>
  <si>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</si>
  <si>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</si>
  <si>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</si>
  <si>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</si>
  <si>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</si>
  <si>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</si>
  <si>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</si>
  <si>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</si>
  <si>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</si>
  <si>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</si>
  <si>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</si>
  <si>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</si>
  <si>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</si>
  <si>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</si>
  <si>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</si>
  <si>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</si>
  <si>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</si>
  <si>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</si>
  <si>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</si>
  <si>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</si>
  <si>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</si>
  <si>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</si>
  <si>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</si>
  <si>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</si>
  <si>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</si>
  <si>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</si>
  <si>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</si>
  <si>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</si>
  <si>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</si>
  <si>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</si>
  <si>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</si>
  <si>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</si>
  <si>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</si>
  <si>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</si>
  <si>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</si>
  <si>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</si>
  <si>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</si>
  <si>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</si>
  <si>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</si>
  <si>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</si>
  <si>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</si>
  <si>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</si>
  <si>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</si>
  <si>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</si>
  <si>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</si>
  <si>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</si>
  <si>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</si>
  <si>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</si>
  <si>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</si>
  <si>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</si>
  <si>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</si>
  <si>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</si>
  <si>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</si>
  <si>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</si>
  <si>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</si>
  <si>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</si>
  <si>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</si>
  <si>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</si>
  <si>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</si>
  <si>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</si>
  <si>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</si>
  <si>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</si>
  <si>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</si>
  <si>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</si>
  <si>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</si>
  <si>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</si>
  <si>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</si>
  <si>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</si>
  <si>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</si>
  <si>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</si>
  <si>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</si>
  <si>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</si>
  <si>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</si>
  <si>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</si>
  <si>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</si>
  <si>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</si>
  <si>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</si>
  <si>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</si>
  <si>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</si>
  <si>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</si>
  <si>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</si>
  <si>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</si>
  <si>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</si>
  <si>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</si>
  <si>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</si>
  <si>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</si>
  <si>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</si>
  <si>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</si>
  <si>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</si>
  <si>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</si>
  <si>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</si>
  <si>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</si>
  <si>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</si>
  <si>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</si>
  <si>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</si>
  <si>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</si>
  <si>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</si>
  <si>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</si>
  <si>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</si>
  <si>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</si>
  <si>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</si>
  <si>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</si>
  <si>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</si>
  <si>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</si>
  <si>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</si>
  <si>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</si>
  <si>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</si>
  <si>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</si>
  <si>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</si>
  <si>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</si>
  <si>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</si>
  <si>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</si>
  <si>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</si>
  <si>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</si>
  <si>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</si>
  <si>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</si>
  <si>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</si>
  <si>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</si>
  <si>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</si>
  <si>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</si>
  <si>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</si>
  <si>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</si>
  <si>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</si>
  <si>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</si>
  <si>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</si>
  <si>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</si>
  <si>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</si>
  <si>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</si>
  <si>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</si>
  <si>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</si>
  <si>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</si>
  <si>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</si>
  <si>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</si>
  <si>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</si>
  <si>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</si>
  <si>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</si>
  <si>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</si>
  <si>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</si>
  <si>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</si>
  <si>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</si>
  <si>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</si>
  <si>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</si>
  <si>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</si>
  <si>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</si>
  <si>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</si>
  <si>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</si>
  <si>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</si>
  <si>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</si>
  <si>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</si>
  <si>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</si>
  <si>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</si>
  <si>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</si>
  <si>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</si>
  <si>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</si>
  <si>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</si>
  <si>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</si>
  <si>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</si>
  <si>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</si>
  <si>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</si>
  <si>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</si>
  <si>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</si>
  <si>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</si>
  <si>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</si>
  <si>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</si>
  <si>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</si>
  <si>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</si>
  <si>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</si>
  <si>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</si>
  <si>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</si>
  <si>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</si>
  <si>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</si>
  <si>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</si>
  <si>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</si>
  <si>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</si>
  <si>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</si>
  <si>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</si>
  <si>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</si>
  <si>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</si>
  <si>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</si>
  <si>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</si>
  <si>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</si>
  <si>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</si>
  <si>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</si>
  <si>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</si>
  <si>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</si>
  <si>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</si>
  <si>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</si>
  <si>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</si>
  <si>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</si>
  <si>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</si>
  <si>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</si>
  <si>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</si>
  <si>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</si>
  <si>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</si>
  <si>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</si>
  <si>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</si>
  <si>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</si>
  <si>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</si>
  <si>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</si>
  <si>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</si>
  <si>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</si>
  <si>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</si>
  <si>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</si>
  <si>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</si>
  <si>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</si>
  <si>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</si>
  <si>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</si>
  <si>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</si>
  <si>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</si>
  <si>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</si>
  <si>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</si>
  <si>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</si>
  <si>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</si>
  <si>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</si>
  <si>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</si>
  <si>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</si>
  <si>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</si>
  <si>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</si>
  <si>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</si>
  <si>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</si>
  <si>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</si>
  <si>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</si>
  <si>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</si>
  <si>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</si>
  <si>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</si>
  <si>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</si>
  <si>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</si>
  <si>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</si>
  <si>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</si>
  <si>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</si>
  <si>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</si>
  <si>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</si>
  <si>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</si>
  <si>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</si>
  <si>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</si>
  <si>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</si>
  <si>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</si>
  <si>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</si>
  <si>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</si>
  <si>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</si>
  <si>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</si>
  <si>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</si>
  <si>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</si>
  <si>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</si>
  <si>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</si>
  <si>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</si>
  <si>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</si>
  <si>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</si>
  <si>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</si>
  <si>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</si>
  <si>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</si>
  <si>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</si>
  <si>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</si>
  <si>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</si>
  <si>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</si>
  <si>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</si>
  <si>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</si>
  <si>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</si>
  <si>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</si>
  <si>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</si>
  <si>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</si>
  <si>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</si>
  <si>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</si>
  <si>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</si>
  <si>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</si>
  <si>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</si>
  <si>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</si>
  <si>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</si>
  <si>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</si>
  <si>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</si>
  <si>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</si>
  <si>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</si>
  <si>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</si>
  <si>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</si>
  <si>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</si>
  <si>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</si>
  <si>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</si>
  <si>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</si>
  <si>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</si>
  <si>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</si>
  <si>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</si>
  <si>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</si>
  <si>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</si>
  <si>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</si>
  <si>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</si>
  <si>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</si>
  <si>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</si>
  <si>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</si>
  <si>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</si>
  <si>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</si>
  <si>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</si>
  <si>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</si>
  <si>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</si>
  <si>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</si>
  <si>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</si>
  <si>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</si>
  <si>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</si>
  <si>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</si>
  <si>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</si>
  <si>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</si>
  <si>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</si>
  <si>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</si>
  <si>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</si>
  <si>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</si>
  <si>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</si>
  <si>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</si>
  <si>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</si>
  <si>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</si>
  <si>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</si>
  <si>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</si>
  <si>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</si>
  <si>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</si>
  <si>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</si>
  <si>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</si>
  <si>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</si>
  <si>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</si>
  <si>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</si>
  <si>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</si>
  <si>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</si>
  <si>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</si>
  <si>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</si>
  <si>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</si>
  <si>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</si>
  <si>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</si>
  <si>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</si>
  <si>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</si>
  <si>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</si>
  <si>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</si>
  <si>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t>Raeymakers Lilianne</t>
  </si>
  <si>
    <t>Goosen Winny</t>
  </si>
  <si>
    <r>
      <t>Moerbeek Wilfried</t>
    </r>
    <r>
      <rPr>
        <b/>
        <sz val="11"/>
        <color rgb="FFFF0000"/>
        <rFont val="Arial"/>
        <family val="2"/>
      </rPr>
      <t xml:space="preserve"> 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</si>
</sst>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  <font>
      <b/>
      <sz val="18"/>
      <color rgb="FF0000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58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0" fontId="48" fillId="0" borderId="0" xfId="0" applyFont="1"/>
    <xf numFmtId="0" fontId="53" fillId="0" borderId="0" xfId="0" applyFont="1"/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165" fontId="57" fillId="0" borderId="0" xfId="0" applyNumberFormat="1" applyFont="1" applyAlignment="1">
      <alignment horizontal="right"/>
    </xf>
    <xf numFmtId="164" fontId="73" fillId="0" borderId="0" xfId="0" applyNumberFormat="1" applyFont="1"/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0" fillId="0" borderId="0" xfId="0" applyNumberFormat="1"/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64" fontId="30" fillId="0" borderId="37" xfId="0" applyNumberFormat="1" applyFont="1" applyBorder="1" applyAlignment="1">
      <alignment horizontal="center" vertical="center"/>
    </xf>
    <xf numFmtId="1" fontId="30" fillId="0" borderId="37" xfId="0" applyNumberFormat="1" applyFont="1" applyBorder="1" applyAlignment="1">
      <alignment horizontal="center" vertical="center"/>
    </xf>
    <xf numFmtId="0" fontId="0" fillId="0" borderId="0" xfId="0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" fontId="84" fillId="0" borderId="0" xfId="0" applyNumberFormat="1" applyFont="1" applyAlignment="1" applyProtection="1">
      <alignment horizontal="center" vertical="center"/>
      <protection locked="0" hidden="1"/>
    </xf>
    <xf numFmtId="167" fontId="47" fillId="0" borderId="0" xfId="0" applyNumberFormat="1" applyFont="1" applyAlignment="1" applyProtection="1">
      <alignment horizontal="center"/>
      <protection locked="0" hidden="1"/>
    </xf>
    <xf numFmtId="0" fontId="17" fillId="0" borderId="0" xfId="0" applyFont="1" applyAlignment="1" applyProtection="1">
      <alignment horizontal="left"/>
      <protection hidden="1"/>
    </xf>
    <xf numFmtId="0" fontId="30" fillId="0" borderId="0" xfId="0" applyFont="1" applyProtection="1">
      <protection hidden="1"/>
    </xf>
    <xf numFmtId="0" fontId="56" fillId="0" borderId="0" xfId="0" applyFont="1" applyAlignment="1" applyProtection="1">
      <alignment horizontal="left"/>
      <protection hidden="1"/>
    </xf>
    <xf numFmtId="0" fontId="71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right"/>
      <protection hidden="1"/>
    </xf>
    <xf numFmtId="0" fontId="4" fillId="0" borderId="0" xfId="0" applyFont="1" applyAlignment="1" applyProtection="1">
      <alignment horizontal="left"/>
      <protection hidden="1"/>
    </xf>
    <xf numFmtId="4" fontId="4" fillId="0" borderId="0" xfId="0" applyNumberFormat="1" applyFont="1" applyAlignment="1" applyProtection="1">
      <alignment horizontal="center"/>
      <protection hidden="1"/>
    </xf>
    <xf numFmtId="0" fontId="68" fillId="0" borderId="0" xfId="0" applyFont="1" applyProtection="1">
      <protection hidden="1"/>
    </xf>
    <xf numFmtId="0" fontId="70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Alignment="1" applyProtection="1">
      <alignment horizontal="center" vertical="center" wrapText="1" shrinkToFit="1"/>
      <protection hidden="1"/>
    </xf>
    <xf numFmtId="0" fontId="62" fillId="0" borderId="0" xfId="0" applyFont="1" applyProtection="1">
      <protection hidden="1"/>
    </xf>
    <xf numFmtId="1" fontId="72" fillId="0" borderId="35" xfId="0" applyNumberFormat="1" applyFont="1" applyBorder="1" applyAlignment="1" applyProtection="1">
      <alignment horizontal="center"/>
      <protection locked="0" hidden="1"/>
    </xf>
    <xf numFmtId="0" fontId="61" fillId="0" borderId="0" xfId="0" applyFont="1" applyProtection="1">
      <protection hidden="1"/>
    </xf>
    <xf numFmtId="168" fontId="0" fillId="0" borderId="0" xfId="0" applyNumberFormat="1" applyProtection="1">
      <protection hidden="1"/>
    </xf>
    <xf numFmtId="168" fontId="0" fillId="0" borderId="0" xfId="0" applyNumberFormat="1" applyAlignment="1" applyProtection="1">
      <alignment horizontal="left"/>
      <protection hidden="1"/>
    </xf>
    <xf numFmtId="4" fontId="0" fillId="0" borderId="0" xfId="0" applyNumberFormat="1" applyProtection="1">
      <protection hidden="1"/>
    </xf>
    <xf numFmtId="168" fontId="69" fillId="0" borderId="0" xfId="0" applyNumberFormat="1" applyFont="1" applyProtection="1">
      <protection hidden="1"/>
    </xf>
    <xf numFmtId="168" fontId="13" fillId="0" borderId="0" xfId="0" applyNumberFormat="1" applyFont="1" applyProtection="1">
      <protection hidden="1"/>
    </xf>
    <xf numFmtId="168" fontId="12" fillId="0" borderId="0" xfId="0" applyNumberFormat="1" applyFont="1" applyProtection="1">
      <protection hidden="1"/>
    </xf>
    <xf numFmtId="0" fontId="31" fillId="0" borderId="0" xfId="0" applyFont="1" applyProtection="1">
      <protection hidden="1"/>
    </xf>
    <xf numFmtId="0" fontId="31" fillId="0" borderId="0" xfId="0" applyFont="1" applyAlignment="1" applyProtection="1">
      <alignment horizontal="left"/>
      <protection hidden="1"/>
    </xf>
    <xf numFmtId="0" fontId="64" fillId="0" borderId="0" xfId="0" applyFont="1" applyProtection="1">
      <protection hidden="1"/>
    </xf>
    <xf numFmtId="169" fontId="31" fillId="0" borderId="0" xfId="0" applyNumberFormat="1" applyFont="1" applyAlignment="1" applyProtection="1">
      <alignment horizontal="center"/>
      <protection hidden="1"/>
    </xf>
    <xf numFmtId="1" fontId="66" fillId="0" borderId="0" xfId="0" applyNumberFormat="1" applyFont="1" applyAlignment="1" applyProtection="1">
      <alignment horizontal="center"/>
      <protection hidden="1"/>
    </xf>
    <xf numFmtId="164" fontId="63" fillId="0" borderId="0" xfId="0" applyNumberFormat="1" applyFont="1" applyProtection="1">
      <protection hidden="1"/>
    </xf>
    <xf numFmtId="0" fontId="66" fillId="0" borderId="0" xfId="0" applyFont="1" applyProtection="1">
      <protection hidden="1"/>
    </xf>
    <xf numFmtId="164" fontId="66" fillId="0" borderId="0" xfId="0" applyNumberFormat="1" applyFont="1" applyProtection="1">
      <protection hidden="1"/>
    </xf>
    <xf numFmtId="1" fontId="63" fillId="0" borderId="0" xfId="0" applyNumberFormat="1" applyFont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center" vertical="center"/>
      <protection hidden="1"/>
    </xf>
    <xf numFmtId="0" fontId="63" fillId="0" borderId="0" xfId="0" applyFont="1" applyProtection="1">
      <protection hidden="1"/>
    </xf>
    <xf numFmtId="169" fontId="26" fillId="0" borderId="0" xfId="0" applyNumberFormat="1" applyFont="1" applyAlignment="1" applyProtection="1">
      <alignment horizontal="center" vertical="center"/>
      <protection hidden="1"/>
    </xf>
    <xf numFmtId="164" fontId="26" fillId="0" borderId="0" xfId="0" applyNumberFormat="1" applyFont="1" applyAlignment="1" applyProtection="1">
      <alignment horizontal="center" vertical="center"/>
      <protection hidden="1"/>
    </xf>
    <xf numFmtId="0" fontId="60" fillId="0" borderId="0" xfId="0" applyFont="1" applyProtection="1">
      <protection hidden="1"/>
    </xf>
    <xf numFmtId="0" fontId="18" fillId="0" borderId="0" xfId="0" applyFont="1" applyProtection="1">
      <protection hidden="1"/>
    </xf>
    <xf numFmtId="169" fontId="18" fillId="0" borderId="0" xfId="0" applyNumberFormat="1" applyFont="1" applyAlignment="1" applyProtection="1">
      <alignment horizontal="center"/>
      <protection hidden="1"/>
    </xf>
    <xf numFmtId="0" fontId="66" fillId="0" borderId="0" xfId="0" applyFont="1" applyAlignment="1" applyProtection="1">
      <alignment horizontal="left"/>
      <protection hidden="1"/>
    </xf>
    <xf numFmtId="0" fontId="67" fillId="0" borderId="0" xfId="0" applyFont="1" applyProtection="1">
      <protection hidden="1"/>
    </xf>
    <xf numFmtId="169" fontId="66" fillId="0" borderId="0" xfId="0" applyNumberFormat="1" applyFont="1" applyAlignment="1" applyProtection="1">
      <alignment horizontal="center"/>
      <protection hidden="1"/>
    </xf>
    <xf numFmtId="0" fontId="69" fillId="0" borderId="0" xfId="0" applyFont="1" applyProtection="1">
      <protection hidden="1"/>
    </xf>
    <xf numFmtId="0" fontId="65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2" fillId="0" borderId="0" xfId="0" applyFont="1" applyProtection="1">
      <protection hidden="1"/>
    </xf>
    <xf numFmtId="16" fontId="33" fillId="0" borderId="0" xfId="0" applyNumberFormat="1" applyFont="1" applyProtection="1">
      <protection hidden="1"/>
    </xf>
    <xf numFmtId="0" fontId="33" fillId="0" borderId="0" xfId="0" applyFont="1" applyProtection="1">
      <protection hidden="1"/>
    </xf>
    <xf numFmtId="0" fontId="41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19" fillId="0" borderId="0" xfId="1" applyAlignment="1" applyProtection="1">
      <alignment horizontal="left"/>
      <protection hidden="1"/>
    </xf>
    <xf numFmtId="0" fontId="81" fillId="2" borderId="37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Protection="1">
      <protection locked="0"/>
    </xf>
    <xf numFmtId="0" fontId="68" fillId="0" borderId="0" xfId="0" applyFont="1" applyAlignment="1" applyProtection="1">
      <alignment horizont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55" fillId="0" borderId="0" xfId="0" applyFont="1" applyAlignment="1" applyProtection="1">
      <alignment horizontal="left" vertical="center"/>
      <protection hidden="1"/>
    </xf>
    <xf numFmtId="0" fontId="5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locked="0" hidden="1"/>
    </xf>
    <xf numFmtId="0" fontId="6" fillId="6" borderId="0" xfId="0" applyFont="1" applyFill="1" applyAlignment="1" applyProtection="1">
      <alignment vertical="center"/>
      <protection locked="0" hidden="1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14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0000CC"/>
      <color rgb="FF333300"/>
      <color rgb="FFFF33CC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2"/>
  <dimension ref="A1:W167"/>
  <sheetViews>
    <sheetView showGridLines="0" showRowColHeaders="0" tabSelected="1" zoomScale="90" zoomScaleNormal="90" workbookViewId="0">
      <selection activeCell="E3" sqref="E3"/>
    </sheetView>
  </sheetViews>
  <sheetFormatPr defaultRowHeight="14.4"/>
  <cols>
    <col min="1" max="1" width="8.33203125" customWidth="1"/>
    <col min="2" max="2" width="7.33203125" style="46" customWidth="1"/>
    <col min="3" max="3" width="33.6640625" customWidth="1"/>
    <col min="4" max="4" width="16.6640625" style="242" customWidth="1"/>
    <col min="5" max="5" width="17" customWidth="1"/>
    <col min="6" max="6" width="20.5546875" bestFit="1" customWidth="1"/>
    <col min="7" max="7" width="14.6640625" customWidth="1"/>
    <col min="8" max="8" width="20.5546875" bestFit="1" customWidth="1"/>
    <col min="9" max="10" width="9.33203125" customWidth="1"/>
    <col min="11" max="11" width="0.88671875" customWidth="1"/>
    <col min="12" max="13" width="10.77734375" customWidth="1"/>
  </cols>
  <sheetData>
    <row r="1" spans="1:23" ht="17.25" customHeight="1">
      <c r="A1" s="311">
        <v>0</v>
      </c>
      <c r="B1" s="306" t="s">
        <v>302</v>
      </c>
      <c r="C1" s="307"/>
      <c r="D1" s="307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</row>
    <row r="2" spans="1:23" ht="17.25" customHeight="1">
      <c r="A2" s="312"/>
      <c r="B2" s="307"/>
      <c r="C2" s="307"/>
      <c r="D2" s="307"/>
      <c r="E2" s="251" t="s">
        <v>332</v>
      </c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</row>
    <row r="3" spans="1:23" ht="21" customHeight="1">
      <c r="A3" s="252">
        <v>6</v>
      </c>
      <c r="B3" s="308" t="s">
        <v>0</v>
      </c>
      <c r="C3" s="308"/>
      <c r="D3" s="309"/>
      <c r="E3" s="253">
        <v>46093</v>
      </c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</row>
    <row r="4" spans="1:23" ht="16.2" customHeight="1">
      <c r="A4" s="250"/>
      <c r="B4" s="310" t="str">
        <f>IF(A8=26,"EINDSTAND", "TUSSENSTAND"  )</f>
        <v>TUSSENSTAND</v>
      </c>
      <c r="C4" s="310"/>
      <c r="D4" s="310"/>
      <c r="E4" s="250" t="s">
        <v>370</v>
      </c>
      <c r="F4" s="250"/>
      <c r="G4" s="250"/>
      <c r="H4" s="250"/>
      <c r="I4" s="250"/>
      <c r="J4" s="250"/>
      <c r="K4" s="254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</row>
    <row r="5" spans="1:23" ht="25.2" customHeight="1" thickBot="1">
      <c r="A5" s="250"/>
      <c r="B5" s="310"/>
      <c r="C5" s="310"/>
      <c r="D5" s="310"/>
      <c r="E5" s="255"/>
      <c r="F5" s="255"/>
      <c r="G5" s="255"/>
      <c r="H5" s="255"/>
      <c r="I5" s="255"/>
      <c r="J5" s="255"/>
      <c r="K5" s="256"/>
      <c r="L5" s="257" t="s">
        <v>352</v>
      </c>
      <c r="M5" s="257" t="s">
        <v>353</v>
      </c>
      <c r="N5" s="255"/>
      <c r="O5" s="255"/>
      <c r="P5" s="250"/>
      <c r="Q5" s="250"/>
      <c r="R5" s="250"/>
      <c r="S5" s="250"/>
      <c r="T5" s="250"/>
      <c r="U5" s="250"/>
      <c r="V5" s="250"/>
      <c r="W5" s="250"/>
    </row>
    <row r="6" spans="1:23" s="45" customFormat="1" ht="25.5" customHeight="1" thickBot="1">
      <c r="A6" s="258"/>
      <c r="B6" s="259" t="s">
        <v>1</v>
      </c>
      <c r="C6" s="260" t="s">
        <v>2</v>
      </c>
      <c r="D6" s="261" t="s">
        <v>3</v>
      </c>
      <c r="E6" s="262" t="s">
        <v>347</v>
      </c>
      <c r="F6" s="305" t="s">
        <v>346</v>
      </c>
      <c r="G6" s="305"/>
      <c r="H6" s="305"/>
      <c r="I6" s="263" t="s">
        <v>350</v>
      </c>
      <c r="J6" s="264" t="s">
        <v>351</v>
      </c>
      <c r="K6" s="265"/>
      <c r="L6" s="266">
        <v>20</v>
      </c>
      <c r="M6" s="266">
        <v>20</v>
      </c>
      <c r="N6" s="265"/>
      <c r="O6" s="265"/>
      <c r="P6" s="265"/>
      <c r="Q6" s="265"/>
      <c r="R6" s="265"/>
      <c r="S6" s="267"/>
      <c r="T6" s="267"/>
      <c r="U6" s="258"/>
      <c r="V6" s="258"/>
      <c r="W6" s="258"/>
    </row>
    <row r="7" spans="1:23" s="213" customFormat="1" ht="6.75" customHeight="1">
      <c r="A7" s="268"/>
      <c r="B7" s="269"/>
      <c r="C7" s="268"/>
      <c r="D7" s="270"/>
      <c r="E7" s="271"/>
      <c r="F7" s="271"/>
      <c r="G7" s="271"/>
      <c r="H7" s="271"/>
      <c r="I7" s="272"/>
      <c r="J7" s="272"/>
      <c r="K7" s="272"/>
      <c r="L7" s="272"/>
      <c r="M7" s="272" t="s">
        <v>365</v>
      </c>
      <c r="N7" s="272"/>
      <c r="O7" s="272"/>
      <c r="P7" s="272"/>
      <c r="Q7" s="272"/>
      <c r="R7" s="272"/>
      <c r="S7" s="273"/>
      <c r="T7" s="273"/>
      <c r="U7" s="268"/>
      <c r="V7" s="268"/>
      <c r="W7" s="268"/>
    </row>
    <row r="8" spans="1:23" s="44" customFormat="1" ht="19.2" customHeight="1">
      <c r="A8" s="274">
        <f>COUNTIF(Punten!$E$208:'Punten'!$AD$208,"&gt;0")</f>
        <v>20</v>
      </c>
      <c r="B8" s="275" t="s">
        <v>4</v>
      </c>
      <c r="C8" s="276" t="s">
        <v>8</v>
      </c>
      <c r="D8" s="277">
        <f>Punten!$C$209</f>
        <v>1276.8239999999998</v>
      </c>
      <c r="E8" s="278">
        <f>Wildert2!$AL$19</f>
        <v>5165</v>
      </c>
      <c r="F8" s="279" t="str">
        <f>INDEX(Wildert2!$A$4:$A$18,MATCH(MAX(Wildert2!$AP$4:$AP$18),Wildert2!$AP$4:$AP$18,0))</f>
        <v xml:space="preserve">Francken Robert </v>
      </c>
      <c r="G8" s="280"/>
      <c r="H8" s="281">
        <f>MAX(Wildert2!$AP$4:$AP$18)</f>
        <v>120</v>
      </c>
      <c r="I8" s="282">
        <f>VLOOKUP($F8,Wildert2!$A$4:$AO$18,40,0)</f>
        <v>48</v>
      </c>
      <c r="J8" s="283">
        <f>VLOOKUP($F8,Wildert2!$A$4:$AO$18,39,0)</f>
        <v>16</v>
      </c>
      <c r="K8" s="284"/>
      <c r="L8" s="285">
        <f>VLOOKUP($C8,Punten!$D$4:$AD$224,1+$L$6,0)</f>
        <v>1276.8240000000005</v>
      </c>
      <c r="M8" s="286">
        <f>VLOOKUP($C8,Punten!$C$4:$AD$224,2+$M$6,0)</f>
        <v>51.245999999999995</v>
      </c>
      <c r="N8" s="284"/>
      <c r="O8" s="284"/>
      <c r="P8" s="284"/>
      <c r="Q8" s="284"/>
      <c r="R8" s="284"/>
      <c r="S8" s="287"/>
      <c r="T8" s="287"/>
      <c r="U8" s="288"/>
      <c r="V8" s="288"/>
      <c r="W8" s="288"/>
    </row>
    <row r="9" spans="1:23" s="44" customFormat="1" ht="20.100000000000001" customHeight="1">
      <c r="A9" s="274">
        <f>COUNTIF(Punten!$E$80:'Punten'!$AD$80,"&gt;0")</f>
        <v>20</v>
      </c>
      <c r="B9" s="275" t="s">
        <v>4</v>
      </c>
      <c r="C9" s="276" t="s">
        <v>11</v>
      </c>
      <c r="D9" s="289">
        <f>Punten!$C$81</f>
        <v>1218.4459999999999</v>
      </c>
      <c r="E9" s="278">
        <f>Molenheike!$AL$19</f>
        <v>4803</v>
      </c>
      <c r="F9" s="279" t="str">
        <f>INDEX(Molenheike!$A$4:$A$18,MATCH(MAX(Molenheike!$AP$4:$AP$18),Molenheike!$AP$4:$AP$18,0))</f>
        <v>Keuppens Marc</v>
      </c>
      <c r="G9" s="280"/>
      <c r="H9" s="281">
        <f>MAX(Molenheike!$AP$4:$AP$18)</f>
        <v>114.79166666666667</v>
      </c>
      <c r="I9" s="282">
        <f>VLOOKUP($F9,Molenheike!$A$4:$AO$18,40,0)</f>
        <v>34.4375</v>
      </c>
      <c r="J9" s="283">
        <f>VLOOKUP($F9,Molenheike!$A$4:$AO$18,39,0)</f>
        <v>16</v>
      </c>
      <c r="K9" s="284"/>
      <c r="L9" s="285">
        <f>VLOOKUP($C9,Punten!$D$4:$AD$224,1+$L$6,0)</f>
        <v>1218.4459999999999</v>
      </c>
      <c r="M9" s="286">
        <f>VLOOKUP($C9,Punten!$C$4:$AD$224,2+$M$6,0)</f>
        <v>68.716000000000008</v>
      </c>
      <c r="N9" s="284"/>
      <c r="O9" s="284"/>
      <c r="P9" s="284"/>
      <c r="Q9" s="284"/>
      <c r="R9" s="284"/>
      <c r="S9" s="287"/>
      <c r="T9" s="287"/>
      <c r="U9" s="288"/>
      <c r="V9" s="288"/>
      <c r="W9" s="288"/>
    </row>
    <row r="10" spans="1:23" s="44" customFormat="1" ht="20.100000000000001" customHeight="1">
      <c r="A10" s="274">
        <f>COUNTIF(Punten!$E$128:'Punten'!$AD$128,"&gt;0")</f>
        <v>20</v>
      </c>
      <c r="B10" s="275" t="s">
        <v>4</v>
      </c>
      <c r="C10" s="276" t="s">
        <v>15</v>
      </c>
      <c r="D10" s="289">
        <f>Punten!$C$129</f>
        <v>1213.136</v>
      </c>
      <c r="E10" s="278">
        <f>Meeuwkes!$AL$19</f>
        <v>3870.0001000000002</v>
      </c>
      <c r="F10" s="279" t="str">
        <f>INDEX(Meeuwkes!$A$4:$A$18,MATCH(MAX(Meeuwkes!$AP$4:$AP$18),Meeuwkes!$AP$4:$AP$18,0))</f>
        <v>Bove René</v>
      </c>
      <c r="G10" s="280"/>
      <c r="H10" s="281">
        <f>MAX(Meeuwkes!$AP$4:$AP$18)</f>
        <v>123.33333333333334</v>
      </c>
      <c r="I10" s="282">
        <f>VLOOKUP($F10,Meeuwkes!$A$4:$AO$18,40,0)</f>
        <v>24.666666666666668</v>
      </c>
      <c r="J10" s="283">
        <f>VLOOKUP($F10,Meeuwkes!$A$4:$AO$18,39,0)</f>
        <v>9</v>
      </c>
      <c r="K10" s="284"/>
      <c r="L10" s="285">
        <f>VLOOKUP($C10,Punten!$D$4:$AD$224,1+$L$6,0)</f>
        <v>1213.136</v>
      </c>
      <c r="M10" s="286">
        <f>VLOOKUP($C10,Punten!$C$4:$AD$224,2+$M$6,0)</f>
        <v>61.343000000000004</v>
      </c>
      <c r="N10" s="284"/>
      <c r="O10" s="284"/>
      <c r="P10" s="284"/>
      <c r="Q10" s="284"/>
      <c r="R10" s="284"/>
      <c r="S10" s="287"/>
      <c r="T10" s="287"/>
      <c r="U10" s="288"/>
      <c r="V10" s="288"/>
      <c r="W10" s="288"/>
    </row>
    <row r="11" spans="1:23" s="44" customFormat="1" ht="20.100000000000001" customHeight="1">
      <c r="A11" s="280">
        <f>COUNTIF(Punten!$E$67:'Punten'!$AD$67,"&gt;0")</f>
        <v>20</v>
      </c>
      <c r="B11" s="290" t="s">
        <v>4</v>
      </c>
      <c r="C11" s="291" t="s">
        <v>13</v>
      </c>
      <c r="D11" s="292">
        <f>Punten!$C$68</f>
        <v>1202.0970000000002</v>
      </c>
      <c r="E11" s="278">
        <f>Meeuwen2!$AL$19</f>
        <v>4349</v>
      </c>
      <c r="F11" s="279" t="str">
        <f>INDEX(Meeuwen2!$A$4:$A$18,MATCH(MAX(Meeuwen2!$AP$4:$AP$18),Meeuwen2!$AP$4:$AP$18,0))</f>
        <v>Suykerbuyk Stan</v>
      </c>
      <c r="G11" s="293"/>
      <c r="H11" s="281">
        <f>MAX(Meeuwen2!$AP$4:$AP$18)</f>
        <v>123.54312354312353</v>
      </c>
      <c r="I11" s="282">
        <f>VLOOKUP($F11,Meeuwen2!$A$4:$AO$18,40,0)</f>
        <v>40.769230769230766</v>
      </c>
      <c r="J11" s="283">
        <f>VLOOKUP($F11,Meeuwen2!$A$4:$AO$18,39,0)</f>
        <v>13</v>
      </c>
      <c r="K11" s="284"/>
      <c r="L11" s="285">
        <f>VLOOKUP($C11,Punten!$D$4:$AD$224,1+$L$6,0)</f>
        <v>1202.097</v>
      </c>
      <c r="M11" s="286">
        <f>VLOOKUP($C11,Punten!$C$4:$AD$224,2+$M$6,0)</f>
        <v>50.621000000000002</v>
      </c>
      <c r="N11" s="284"/>
      <c r="O11" s="284"/>
      <c r="P11" s="284"/>
      <c r="Q11" s="284"/>
      <c r="R11" s="284"/>
      <c r="S11" s="287"/>
      <c r="T11" s="287"/>
      <c r="U11" s="288"/>
      <c r="V11" s="288"/>
      <c r="W11" s="288"/>
    </row>
    <row r="12" spans="1:23" s="44" customFormat="1" ht="20.100000000000001" customHeight="1">
      <c r="A12" s="274">
        <f>COUNTIF(Punten!E174:'Punten'!AD174,"&gt;0")</f>
        <v>20</v>
      </c>
      <c r="B12" s="275" t="s">
        <v>4</v>
      </c>
      <c r="C12" s="276" t="s">
        <v>14</v>
      </c>
      <c r="D12" s="289">
        <f>Punten!$C$175</f>
        <v>1197.575</v>
      </c>
      <c r="E12" s="278">
        <f>Putte!$AL$19</f>
        <v>3850</v>
      </c>
      <c r="F12" s="279" t="str">
        <f>INDEX(Putte!$A$4:$A$18,MATCH(MAX(Putte!$AP$4:$AP$18),Putte!$AP$4:$AP$18,0))</f>
        <v>Van Den Bleeken Eddy</v>
      </c>
      <c r="G12" s="280"/>
      <c r="H12" s="281">
        <f>MAX(Putte!$AP$4:$AP$18)</f>
        <v>124.24242424242425</v>
      </c>
      <c r="I12" s="282">
        <f>VLOOKUP($F12,Putte!$A$4:$AO$18,40,0)</f>
        <v>27.333333333333332</v>
      </c>
      <c r="J12" s="283">
        <f>VLOOKUP($F12,Putte!$A$4:$AO$18,39,0)</f>
        <v>6</v>
      </c>
      <c r="K12" s="284"/>
      <c r="L12" s="285">
        <f>VLOOKUP($C12,Punten!$D$4:$AD$224,1+$L$6,0)</f>
        <v>1197.575</v>
      </c>
      <c r="M12" s="286">
        <f>VLOOKUP($C12,Punten!$C$4:$AD$224,2+$M$6,0)</f>
        <v>53.37</v>
      </c>
      <c r="N12" s="284"/>
      <c r="O12" s="284"/>
      <c r="P12" s="284"/>
      <c r="Q12" s="284"/>
      <c r="R12" s="284"/>
      <c r="S12" s="287"/>
      <c r="T12" s="287"/>
      <c r="U12" s="288"/>
      <c r="V12" s="288"/>
      <c r="W12" s="288"/>
    </row>
    <row r="13" spans="1:23" s="44" customFormat="1" ht="20.100000000000001" customHeight="1">
      <c r="A13" s="274">
        <f>COUNTIF(Punten!E112:'Punten'!AD112,"&gt;0")</f>
        <v>20</v>
      </c>
      <c r="B13" s="275" t="s">
        <v>4</v>
      </c>
      <c r="C13" s="276" t="s">
        <v>5</v>
      </c>
      <c r="D13" s="289">
        <f>Punten!$C$113</f>
        <v>1187.1039999999998</v>
      </c>
      <c r="E13" s="278">
        <f>Oudeglorie!$AL$19</f>
        <v>3608</v>
      </c>
      <c r="F13" s="279" t="str">
        <f>INDEX(Oudeglorie!$A$4:$A$18,MATCH(MAX(Oudeglorie!$AP$4:$AP$18),Oudeglorie!$AP$4:$AP$18,0))</f>
        <v>Nelen Frans</v>
      </c>
      <c r="G13" s="280"/>
      <c r="H13" s="281">
        <f>MAX(Oudeglorie!$AP$4:$AP$18)</f>
        <v>122</v>
      </c>
      <c r="I13" s="282">
        <f>VLOOKUP($F13,Oudeglorie!$A$4:$AO$18,40,0)</f>
        <v>30.5</v>
      </c>
      <c r="J13" s="283">
        <f>VLOOKUP($F13,Oudeglorie!$A$4:$AO$18,39,0)</f>
        <v>10</v>
      </c>
      <c r="K13" s="284"/>
      <c r="L13" s="285">
        <f>VLOOKUP($C13,Punten!$D$4:$AD$224,1+$L$6,0)</f>
        <v>1187.104</v>
      </c>
      <c r="M13" s="286">
        <f>VLOOKUP($C13,Punten!$C$4:$AD$224,2+$M$6,0)</f>
        <v>55.913000000000004</v>
      </c>
      <c r="N13" s="284"/>
      <c r="O13" s="284"/>
      <c r="P13" s="284"/>
      <c r="Q13" s="284"/>
      <c r="R13" s="284"/>
      <c r="S13" s="287"/>
      <c r="T13" s="287"/>
      <c r="U13" s="288"/>
      <c r="V13" s="288"/>
      <c r="W13" s="288"/>
    </row>
    <row r="14" spans="1:23" s="44" customFormat="1" ht="20.100000000000001" customHeight="1">
      <c r="A14" s="280">
        <f>COUNTIF(Punten!$E$94:'Punten'!$AD$94,"&gt;0")</f>
        <v>20</v>
      </c>
      <c r="B14" s="290" t="s">
        <v>4</v>
      </c>
      <c r="C14" s="291" t="s">
        <v>289</v>
      </c>
      <c r="D14" s="292">
        <f>Punten!$C$95</f>
        <v>1174.5359999999998</v>
      </c>
      <c r="E14" s="278">
        <f>Nispen!$AL$19</f>
        <v>3842</v>
      </c>
      <c r="F14" s="279" t="str">
        <f>INDEX(Nispen!$A$4:$A$18,MATCH(MAX(Nispen!$AP$4:$AP$18),Nispen!$AP$4:$AP$18,0))</f>
        <v>Brouwers Vic</v>
      </c>
      <c r="G14" s="280"/>
      <c r="H14" s="281">
        <f>MAX(Nispen!$AP$4:$AP$18)</f>
        <v>104.95356037151701</v>
      </c>
      <c r="I14" s="282">
        <f>VLOOKUP($F14,Nispen!$A$4:$AO$18,40,0)</f>
        <v>71.368421052631575</v>
      </c>
      <c r="J14" s="283">
        <f>VLOOKUP($F14,Nispen!$A$4:$AO$18,39,0)</f>
        <v>19</v>
      </c>
      <c r="K14" s="284"/>
      <c r="L14" s="285">
        <f>VLOOKUP($C14,Punten!$D$4:$AD$224,1+$L$6,0)</f>
        <v>1174.5360000000001</v>
      </c>
      <c r="M14" s="286">
        <f>VLOOKUP($C14,Punten!$C$4:$AD$224,2+$M$6,0)</f>
        <v>61.189</v>
      </c>
      <c r="N14" s="284"/>
      <c r="O14" s="284"/>
      <c r="P14" s="284"/>
      <c r="Q14" s="284"/>
      <c r="R14" s="284"/>
      <c r="S14" s="287"/>
      <c r="T14" s="287"/>
      <c r="U14" s="288"/>
      <c r="V14" s="288"/>
      <c r="W14" s="288"/>
    </row>
    <row r="15" spans="1:23" s="44" customFormat="1" ht="20.100000000000001" customHeight="1">
      <c r="A15" s="274">
        <f>COUNTIF(Punten!$E$223:'Punten'!$AD$223,"&gt;0")</f>
        <v>20</v>
      </c>
      <c r="B15" s="275" t="s">
        <v>4</v>
      </c>
      <c r="C15" s="276" t="s">
        <v>290</v>
      </c>
      <c r="D15" s="289">
        <f>Punten!$C$224</f>
        <v>1168.819</v>
      </c>
      <c r="E15" s="278">
        <f>DeBeek!$AL$19</f>
        <v>3835</v>
      </c>
      <c r="F15" s="279" t="str">
        <f>INDEX(DeBeek!$A$4:$A$18,MATCH(MAX(DeBeek!$AP$4:$AP$18),DeBeek!$AP$4:$AP$18,0))</f>
        <v>Beyers Armand</v>
      </c>
      <c r="G15" s="280"/>
      <c r="H15" s="281">
        <f>MAX(DeBeek!$AP$4:$AP$18)</f>
        <v>116.66666666666667</v>
      </c>
      <c r="I15" s="282">
        <f>VLOOKUP($F15,DeBeek!$A$4:$AO$18,40,0)</f>
        <v>42</v>
      </c>
      <c r="J15" s="283">
        <f>VLOOKUP($F15,DeBeek!$A$4:$AO$18,39,0)</f>
        <v>12</v>
      </c>
      <c r="K15" s="284"/>
      <c r="L15" s="285">
        <f>VLOOKUP($C15,Punten!$D$4:$AD$224,1+$L$6,0)</f>
        <v>1168.8189999999997</v>
      </c>
      <c r="M15" s="286">
        <f>VLOOKUP($C15,Punten!$C$4:$AD$224,2+$M$6,0)</f>
        <v>64.445999999999998</v>
      </c>
      <c r="N15" s="284"/>
      <c r="O15" s="284"/>
      <c r="P15" s="284"/>
      <c r="Q15" s="284"/>
      <c r="R15" s="284"/>
      <c r="S15" s="287"/>
      <c r="T15" s="287"/>
      <c r="U15" s="288"/>
      <c r="V15" s="288"/>
      <c r="W15" s="288"/>
    </row>
    <row r="16" spans="1:23" s="44" customFormat="1" ht="20.100000000000001" customHeight="1">
      <c r="A16" s="274">
        <f>COUNTIF(Punten!$E$192:'Punten'!$AD$192,"&gt;0")</f>
        <v>20</v>
      </c>
      <c r="B16" s="275" t="s">
        <v>4</v>
      </c>
      <c r="C16" s="294" t="s">
        <v>12</v>
      </c>
      <c r="D16" s="277">
        <f>Punten!$C$193</f>
        <v>1165.0210000000002</v>
      </c>
      <c r="E16" s="278">
        <f>Wildert1!$AL$19</f>
        <v>3966</v>
      </c>
      <c r="F16" s="279" t="str">
        <f>INDEX(Wildert1!$A$4:$A$18,MATCH(MAX(Wildert1!$AP$4:$AP$18),Wildert1!$AP$4:$AP$18,0))</f>
        <v xml:space="preserve">Konings Guido </v>
      </c>
      <c r="G16" s="280"/>
      <c r="H16" s="281">
        <f>MAX(Wildert1!$AP$4:$AP$18)</f>
        <v>122.50000000000001</v>
      </c>
      <c r="I16" s="282">
        <f>VLOOKUP($F16,Wildert1!$A$4:$AO$18,40,0)</f>
        <v>29.4</v>
      </c>
      <c r="J16" s="283">
        <f>VLOOKUP($F16,Wildert1!$A$4:$AO$18,39,0)</f>
        <v>10</v>
      </c>
      <c r="K16" s="284"/>
      <c r="L16" s="285">
        <f>VLOOKUP($C16,Punten!$D$4:$AD$224,1+$L$6,0)</f>
        <v>1165.021</v>
      </c>
      <c r="M16" s="286">
        <f>VLOOKUP($C16,Punten!$C$4:$AD$224,2+$M$6,0)</f>
        <v>43.341999999999999</v>
      </c>
      <c r="N16" s="284"/>
      <c r="O16" s="284"/>
      <c r="P16" s="284"/>
      <c r="Q16" s="284"/>
      <c r="R16" s="284" t="s">
        <v>366</v>
      </c>
      <c r="S16" s="287"/>
      <c r="T16" s="287"/>
      <c r="U16" s="288"/>
      <c r="V16" s="288"/>
      <c r="W16" s="288"/>
    </row>
    <row r="17" spans="1:23" s="44" customFormat="1" ht="20.100000000000001" customHeight="1">
      <c r="A17" s="280">
        <f>COUNTIF(Punten!$E$35:'Punten'!$AD$35,"&gt;0")</f>
        <v>20</v>
      </c>
      <c r="B17" s="290" t="s">
        <v>4</v>
      </c>
      <c r="C17" s="294" t="s">
        <v>10</v>
      </c>
      <c r="D17" s="292">
        <f>Punten!$C$36</f>
        <v>1158.6749999999997</v>
      </c>
      <c r="E17" s="278">
        <f>Kerkuilen!$AL$19</f>
        <v>5068</v>
      </c>
      <c r="F17" s="279" t="str">
        <f>INDEX(Kerkuilen!$A$4:$A$18,MATCH(MAX(Kerkuilen!$AP$4:$AP$18),Kerkuilen!$AP$4:$AP$18,0))</f>
        <v>De Kaey Piet</v>
      </c>
      <c r="G17" s="280"/>
      <c r="H17" s="281">
        <f>MAX(Kerkuilen!$AP$4:$AP$18)</f>
        <v>113.46153846153845</v>
      </c>
      <c r="I17" s="282">
        <f>VLOOKUP($F17,Kerkuilen!$A$4:$AO$18,40,0)</f>
        <v>59</v>
      </c>
      <c r="J17" s="283">
        <f>VLOOKUP($F17,Kerkuilen!$A$4:$AO$18,39,0)</f>
        <v>7</v>
      </c>
      <c r="K17" s="284"/>
      <c r="L17" s="285">
        <f>VLOOKUP($C17,Punten!$D$4:$AD$224,1+$L$6,0)</f>
        <v>1158.6750000000002</v>
      </c>
      <c r="M17" s="286">
        <f>VLOOKUP($C17,Punten!$C$4:$AD$224,2+$M$6,0)</f>
        <v>63.882999999999996</v>
      </c>
      <c r="N17" s="284"/>
      <c r="O17" s="284"/>
      <c r="P17" s="284"/>
      <c r="Q17" s="284"/>
      <c r="R17" s="284"/>
      <c r="S17" s="287"/>
      <c r="T17" s="287"/>
      <c r="U17" s="288"/>
      <c r="V17" s="288"/>
      <c r="W17" s="288"/>
    </row>
    <row r="18" spans="1:23" s="44" customFormat="1" ht="20.100000000000001" customHeight="1">
      <c r="A18" s="280">
        <f>COUNTIF(Punten!$E$157:'Punten'!$AD$157,"&gt;0")</f>
        <v>20</v>
      </c>
      <c r="B18" s="290" t="s">
        <v>4</v>
      </c>
      <c r="C18" s="291" t="s">
        <v>9</v>
      </c>
      <c r="D18" s="292">
        <f>Punten!$C$158</f>
        <v>1156.2149999999999</v>
      </c>
      <c r="E18" s="278">
        <f>Rooiebal2!$AL$19</f>
        <v>3623</v>
      </c>
      <c r="F18" s="279" t="str">
        <f>INDEX(Rooiebal2!$A$4:$A$18,MATCH(MAX(Rooiebal2!$AP$4:$AP$18),Rooiebal2!$AP$4:$AP$18,0))</f>
        <v xml:space="preserve">Donckers Johnny </v>
      </c>
      <c r="G18" s="280"/>
      <c r="H18" s="281">
        <f>MAX(Rooiebal2!$AP$4:$AP$18)</f>
        <v>124</v>
      </c>
      <c r="I18" s="282">
        <f>VLOOKUP($F18,Rooiebal2!$A$4:$AO$18,40,0)</f>
        <v>31</v>
      </c>
      <c r="J18" s="283">
        <f>VLOOKUP($F18,Rooiebal2!$A$4:$AO$18,39,0)</f>
        <v>15</v>
      </c>
      <c r="K18" s="284"/>
      <c r="L18" s="285">
        <f>VLOOKUP($C18,Punten!$D$4:$AD$224,1+$L$6,0)</f>
        <v>1156.2150000000001</v>
      </c>
      <c r="M18" s="286">
        <f>VLOOKUP($C18,Punten!$C$4:$AD$224,2+$M$6,0)</f>
        <v>52.905000000000001</v>
      </c>
      <c r="N18" s="284"/>
      <c r="O18" s="284"/>
      <c r="P18" s="284"/>
      <c r="Q18" s="284"/>
      <c r="R18" s="284"/>
      <c r="S18" s="287"/>
      <c r="T18" s="287"/>
      <c r="U18" s="288"/>
      <c r="V18" s="288"/>
      <c r="W18" s="288"/>
    </row>
    <row r="19" spans="1:23" s="44" customFormat="1" ht="20.100000000000001" customHeight="1">
      <c r="A19" s="280">
        <f>COUNTIF(Punten!$E$142:'Punten'!$AD$142,"&gt;0")</f>
        <v>20</v>
      </c>
      <c r="B19" s="290" t="s">
        <v>4</v>
      </c>
      <c r="C19" s="294" t="s">
        <v>7</v>
      </c>
      <c r="D19" s="292">
        <f>Punten!$C$143</f>
        <v>1136.2140000000002</v>
      </c>
      <c r="E19" s="278">
        <f>Rooiebal1!$AL$19</f>
        <v>3376</v>
      </c>
      <c r="F19" s="279" t="str">
        <f>INDEX(Rooiebal1!$A$4:$A$18,MATCH(MAX(Rooiebal1!$AP$4:$AP$18),Rooiebal1!$AP$4:$AP$18,0))</f>
        <v>Aerts Jan</v>
      </c>
      <c r="G19" s="280"/>
      <c r="H19" s="281">
        <f>MAX(Rooiebal1!$AP$4:$AP$18)</f>
        <v>111.57894736842104</v>
      </c>
      <c r="I19" s="282">
        <f>VLOOKUP($F19,Rooiebal1!$A$4:$AO$18,40,0)</f>
        <v>21.2</v>
      </c>
      <c r="J19" s="283">
        <f>VLOOKUP($F19,Rooiebal1!$A$4:$AO$18,39,0)</f>
        <v>15</v>
      </c>
      <c r="K19" s="284"/>
      <c r="L19" s="285">
        <f>VLOOKUP($C19,Punten!$D$4:$AD$224,1+$L$6,0)</f>
        <v>1136.2140000000002</v>
      </c>
      <c r="M19" s="286">
        <f>VLOOKUP($C19,Punten!$C$4:$AD$224,2+$M$6,0)</f>
        <v>41.087000000000003</v>
      </c>
      <c r="N19" s="284"/>
      <c r="O19" s="284"/>
      <c r="P19" s="284"/>
      <c r="Q19" s="284"/>
      <c r="R19" s="284"/>
      <c r="S19" s="287"/>
      <c r="T19" s="287"/>
      <c r="U19" s="288"/>
      <c r="V19" s="288"/>
      <c r="W19" s="288"/>
    </row>
    <row r="20" spans="1:23" s="44" customFormat="1" ht="20.100000000000001" customHeight="1">
      <c r="A20" s="274">
        <f>COUNTIF(Punten!$E$16:'Punten'!$AD$16,"&gt;0")</f>
        <v>20</v>
      </c>
      <c r="B20" s="275" t="s">
        <v>4</v>
      </c>
      <c r="C20" s="294" t="s">
        <v>6</v>
      </c>
      <c r="D20" s="289">
        <f>Punten!$C$17</f>
        <v>1125.8680000000002</v>
      </c>
      <c r="E20" s="278">
        <f>Horendonk!$AL$19</f>
        <v>3084</v>
      </c>
      <c r="F20" s="279" t="str">
        <f>INDEX(Horendonk!$A$4:$A$18,MATCH(MAX(Horendonk!$AP$4:$AP$18),Horendonk!$AP$4:$AP$18,0))</f>
        <v>Ansems Ferre</v>
      </c>
      <c r="G20" s="280"/>
      <c r="H20" s="281">
        <f>MAX(Horendonk!$AP$4:$AP$18)</f>
        <v>113.8755980861244</v>
      </c>
      <c r="I20" s="282">
        <f>VLOOKUP($F20,Horendonk!$A$4:$AP18,40,0)</f>
        <v>21.636363636363637</v>
      </c>
      <c r="J20" s="283">
        <f>VLOOKUP($F20,Horendonk!$A$4:$AO$18,39,0)</f>
        <v>11</v>
      </c>
      <c r="K20" s="284"/>
      <c r="L20" s="285">
        <f>VLOOKUP($C20,Punten!$D$4:$AD$224,1+$L$6,0)</f>
        <v>1125.8679999999999</v>
      </c>
      <c r="M20" s="286">
        <f>VLOOKUP($C20,Punten!$C$4:$AD$224,2+$M$6,0)</f>
        <v>52.927</v>
      </c>
      <c r="N20" s="284"/>
      <c r="O20" s="284"/>
      <c r="P20" s="284"/>
      <c r="Q20" s="284"/>
      <c r="R20" s="284"/>
      <c r="S20" s="287"/>
      <c r="T20" s="287"/>
      <c r="U20" s="288"/>
      <c r="V20" s="288"/>
      <c r="W20" s="288"/>
    </row>
    <row r="21" spans="1:23" ht="19.95" customHeight="1">
      <c r="A21" s="280">
        <f>COUNTIF(Punten!$E$50:'Punten'!$AD$50,"&gt;0")</f>
        <v>20</v>
      </c>
      <c r="B21" s="290" t="s">
        <v>4</v>
      </c>
      <c r="C21" s="294" t="s">
        <v>16</v>
      </c>
      <c r="D21" s="292">
        <f>Punten!$C$51</f>
        <v>1082.329</v>
      </c>
      <c r="E21" s="278">
        <f>Meeuwen1!$AL$19</f>
        <v>3031</v>
      </c>
      <c r="F21" s="279" t="str">
        <f>INDEX(Meeuwen1!$A$4:$A$18,MATCH(MAX(Meeuwen1!$AP$4:$AP$18),Meeuwen1!$AP$4:$AP$18,0))</f>
        <v>Aerts Adri</v>
      </c>
      <c r="G21" s="280"/>
      <c r="H21" s="281">
        <f>MAX(Meeuwen1!$AP$4:$AP$18)</f>
        <v>108.17307692307692</v>
      </c>
      <c r="I21" s="282">
        <f>VLOOKUP($F21,Meeuwen1!$A$4:$AO$18,40,0)</f>
        <v>34.615384615384613</v>
      </c>
      <c r="J21" s="283">
        <f>VLOOKUP($F21,Meeuwen1!$A$4:$AO$18,39,0)</f>
        <v>13</v>
      </c>
      <c r="K21" s="295"/>
      <c r="L21" s="285">
        <f>VLOOKUP($C21,Punten!$D$4:$AD$224,1+$L$6,0)</f>
        <v>1082.3290000000002</v>
      </c>
      <c r="M21" s="286">
        <f>VLOOKUP($C21,Punten!$C$4:$AD$224,2+$M$6,0)</f>
        <v>54.594999999999999</v>
      </c>
      <c r="N21" s="295"/>
      <c r="O21" s="295"/>
      <c r="P21" s="295"/>
      <c r="Q21" s="295"/>
      <c r="R21" s="295"/>
      <c r="S21" s="296"/>
      <c r="T21" s="296"/>
      <c r="U21" s="250"/>
      <c r="V21" s="250"/>
      <c r="W21" s="250"/>
    </row>
    <row r="22" spans="1:23" ht="15" customHeight="1">
      <c r="A22" s="250"/>
      <c r="B22" s="297"/>
      <c r="C22" s="250"/>
      <c r="D22" s="270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6"/>
      <c r="T22" s="296"/>
      <c r="U22" s="250"/>
      <c r="V22" s="250"/>
      <c r="W22" s="250"/>
    </row>
    <row r="23" spans="1:23" ht="15" customHeight="1">
      <c r="A23" s="250"/>
      <c r="B23" s="298"/>
      <c r="C23" s="250"/>
      <c r="D23" s="270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50"/>
      <c r="T23" s="250"/>
      <c r="U23" s="250"/>
      <c r="V23" s="250"/>
      <c r="W23" s="250"/>
    </row>
    <row r="24" spans="1:23" ht="15" customHeight="1">
      <c r="A24" s="250"/>
      <c r="B24" s="299"/>
      <c r="C24" s="296"/>
      <c r="D24" s="270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50"/>
      <c r="T24" s="250"/>
      <c r="U24" s="250"/>
      <c r="V24" s="250"/>
      <c r="W24" s="250"/>
    </row>
    <row r="25" spans="1:23" ht="15" customHeight="1">
      <c r="A25" s="250"/>
      <c r="B25" s="300"/>
      <c r="C25" s="295"/>
      <c r="D25" s="27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</row>
    <row r="26" spans="1:23" ht="15" customHeight="1">
      <c r="A26" s="250"/>
      <c r="B26" s="300"/>
      <c r="C26" s="250"/>
      <c r="D26" s="270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</row>
    <row r="27" spans="1:23">
      <c r="A27" s="250"/>
      <c r="B27" s="300" t="s">
        <v>17</v>
      </c>
      <c r="C27" s="250"/>
      <c r="D27" s="270"/>
      <c r="E27" s="250"/>
      <c r="F27" s="250"/>
      <c r="G27" s="250"/>
      <c r="H27" s="250"/>
      <c r="I27" s="250"/>
      <c r="J27" s="250"/>
      <c r="K27" s="250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</row>
    <row r="28" spans="1:23">
      <c r="A28" s="250"/>
      <c r="B28" s="301" t="s">
        <v>288</v>
      </c>
      <c r="C28" s="250"/>
      <c r="D28" s="270"/>
      <c r="E28" s="250"/>
      <c r="F28" s="250"/>
      <c r="G28" s="250"/>
      <c r="H28" s="250"/>
      <c r="I28" s="250"/>
      <c r="J28" s="250"/>
      <c r="K28" s="250"/>
      <c r="L28" s="250"/>
      <c r="M28" s="250"/>
      <c r="N28" s="250"/>
      <c r="O28" s="250"/>
      <c r="P28" s="250"/>
      <c r="Q28" s="250"/>
      <c r="R28" s="250"/>
      <c r="S28" s="250"/>
      <c r="T28" s="250"/>
      <c r="U28" s="250"/>
      <c r="V28" s="250"/>
      <c r="W28" s="250"/>
    </row>
    <row r="29" spans="1:23">
      <c r="A29" s="250"/>
      <c r="B29" s="300"/>
      <c r="C29" s="250"/>
      <c r="D29" s="27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  <c r="U29" s="250"/>
      <c r="V29" s="250"/>
      <c r="W29" s="250"/>
    </row>
    <row r="30" spans="1:23">
      <c r="A30" s="250"/>
      <c r="B30" s="300"/>
      <c r="C30" s="250"/>
      <c r="D30" s="270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0"/>
      <c r="Q30" s="250"/>
      <c r="R30" s="250"/>
      <c r="S30" s="250"/>
      <c r="T30" s="250"/>
      <c r="U30" s="250"/>
      <c r="V30" s="250"/>
      <c r="W30" s="250"/>
    </row>
    <row r="31" spans="1:23">
      <c r="A31" s="250"/>
      <c r="B31" s="300"/>
      <c r="C31" s="250"/>
      <c r="D31" s="270"/>
      <c r="E31" s="250"/>
      <c r="F31" s="250"/>
      <c r="G31" s="250"/>
      <c r="H31" s="250"/>
      <c r="I31" s="250"/>
      <c r="J31" s="250"/>
      <c r="K31" s="250"/>
      <c r="L31" s="250"/>
      <c r="M31" s="250"/>
      <c r="N31" s="250"/>
      <c r="O31" s="250"/>
      <c r="P31" s="250"/>
      <c r="Q31" s="250"/>
      <c r="R31" s="250"/>
      <c r="S31" s="250"/>
      <c r="T31" s="250"/>
      <c r="U31" s="250"/>
      <c r="V31" s="250"/>
      <c r="W31" s="250"/>
    </row>
    <row r="32" spans="1:23">
      <c r="A32" s="250"/>
      <c r="B32" s="300"/>
      <c r="C32" s="250"/>
      <c r="D32" s="270"/>
      <c r="E32" s="250"/>
      <c r="F32" s="250"/>
      <c r="G32" s="250"/>
      <c r="H32" s="250"/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250"/>
      <c r="T32" s="250"/>
      <c r="U32" s="250"/>
      <c r="V32" s="250"/>
      <c r="W32" s="250"/>
    </row>
    <row r="33" spans="1:23">
      <c r="A33" s="250"/>
      <c r="B33" s="300"/>
      <c r="C33" s="250"/>
      <c r="D33" s="270"/>
      <c r="E33" s="250"/>
      <c r="F33" s="250"/>
      <c r="G33" s="250"/>
      <c r="H33" s="250"/>
      <c r="I33" s="250"/>
      <c r="J33" s="250"/>
      <c r="K33" s="250"/>
      <c r="L33" s="250"/>
      <c r="M33" s="250"/>
      <c r="N33" s="250"/>
      <c r="O33" s="250"/>
      <c r="P33" s="250"/>
      <c r="Q33" s="250"/>
      <c r="R33" s="250"/>
      <c r="S33" s="250"/>
      <c r="T33" s="250"/>
      <c r="U33" s="250"/>
      <c r="V33" s="250"/>
      <c r="W33" s="250"/>
    </row>
    <row r="34" spans="1:23">
      <c r="A34" s="250"/>
      <c r="B34" s="300"/>
      <c r="C34" s="250"/>
      <c r="D34" s="270"/>
      <c r="E34" s="250"/>
      <c r="F34" s="250"/>
      <c r="G34" s="250"/>
      <c r="H34" s="250"/>
      <c r="I34" s="250"/>
      <c r="J34" s="250"/>
      <c r="K34" s="250"/>
      <c r="L34" s="250"/>
      <c r="M34" s="250"/>
      <c r="N34" s="250"/>
      <c r="O34" s="250"/>
      <c r="P34" s="250"/>
      <c r="Q34" s="250"/>
      <c r="R34" s="250"/>
      <c r="S34" s="250"/>
      <c r="T34" s="250"/>
      <c r="U34" s="250"/>
      <c r="V34" s="250"/>
      <c r="W34" s="250"/>
    </row>
    <row r="35" spans="1:23">
      <c r="A35" s="250"/>
      <c r="B35" s="300"/>
      <c r="C35" s="250"/>
      <c r="D35" s="270"/>
      <c r="E35" s="250"/>
      <c r="F35" s="250"/>
      <c r="G35" s="250"/>
      <c r="H35" s="250"/>
      <c r="I35" s="250"/>
      <c r="J35" s="250"/>
      <c r="K35" s="250"/>
      <c r="L35" s="250"/>
      <c r="M35" s="250"/>
      <c r="N35" s="250"/>
      <c r="O35" s="250"/>
      <c r="P35" s="250"/>
      <c r="Q35" s="250"/>
      <c r="R35" s="250"/>
      <c r="S35" s="250"/>
      <c r="T35" s="250"/>
      <c r="U35" s="250"/>
      <c r="V35" s="250"/>
      <c r="W35" s="250"/>
    </row>
    <row r="36" spans="1:23">
      <c r="A36" s="250"/>
      <c r="B36" s="300"/>
      <c r="C36" s="250"/>
      <c r="D36" s="270"/>
      <c r="E36" s="250"/>
      <c r="F36" s="250"/>
      <c r="G36" s="250"/>
      <c r="H36" s="250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</row>
    <row r="37" spans="1:23">
      <c r="A37" s="250"/>
      <c r="B37" s="300"/>
      <c r="C37" s="250"/>
      <c r="D37" s="27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</row>
    <row r="38" spans="1:23">
      <c r="A38" s="250"/>
      <c r="B38" s="300"/>
      <c r="C38" s="250"/>
      <c r="D38" s="27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</row>
    <row r="39" spans="1:23">
      <c r="A39" s="250"/>
      <c r="B39" s="300"/>
      <c r="C39" s="250"/>
      <c r="D39" s="27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  <c r="Q39" s="250"/>
      <c r="R39" s="250"/>
      <c r="S39" s="250"/>
      <c r="T39" s="250"/>
      <c r="U39" s="250"/>
      <c r="V39" s="250"/>
      <c r="W39" s="250"/>
    </row>
    <row r="40" spans="1:23">
      <c r="A40" s="250"/>
      <c r="B40" s="300"/>
      <c r="C40" s="250"/>
      <c r="D40" s="27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</row>
    <row r="41" spans="1:23">
      <c r="A41" s="250"/>
      <c r="B41" s="300"/>
      <c r="C41" s="250"/>
      <c r="D41" s="270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</row>
    <row r="42" spans="1:23">
      <c r="A42" s="250"/>
      <c r="B42" s="300"/>
      <c r="C42" s="250"/>
      <c r="D42" s="270"/>
      <c r="E42" s="250"/>
      <c r="F42" s="250"/>
      <c r="G42" s="250"/>
      <c r="H42" s="250"/>
      <c r="I42" s="250"/>
      <c r="J42" s="250"/>
      <c r="K42" s="250"/>
      <c r="L42" s="250"/>
      <c r="M42" s="250"/>
      <c r="N42" s="250"/>
      <c r="O42" s="250"/>
      <c r="P42" s="250"/>
      <c r="Q42" s="250"/>
      <c r="R42" s="250"/>
      <c r="S42" s="250"/>
      <c r="T42" s="250"/>
      <c r="U42" s="250"/>
      <c r="V42" s="250"/>
      <c r="W42" s="250"/>
    </row>
    <row r="43" spans="1:23">
      <c r="A43" s="250"/>
      <c r="B43" s="300"/>
      <c r="C43" s="250"/>
      <c r="D43" s="270"/>
      <c r="E43" s="250"/>
      <c r="F43" s="250"/>
      <c r="G43" s="250"/>
      <c r="H43" s="250"/>
      <c r="I43" s="250"/>
      <c r="J43" s="250"/>
      <c r="K43" s="250"/>
      <c r="L43" s="250"/>
      <c r="M43" s="250"/>
      <c r="N43" s="250"/>
      <c r="O43" s="250"/>
      <c r="P43" s="250"/>
      <c r="Q43" s="250"/>
      <c r="R43" s="250"/>
      <c r="S43" s="250"/>
      <c r="T43" s="250"/>
      <c r="U43" s="250"/>
      <c r="V43" s="250"/>
      <c r="W43" s="250"/>
    </row>
    <row r="44" spans="1:23">
      <c r="A44" s="250"/>
      <c r="B44" s="300"/>
      <c r="C44" s="250"/>
      <c r="D44" s="270"/>
      <c r="E44" s="250"/>
      <c r="F44" s="250"/>
      <c r="G44" s="250"/>
      <c r="H44" s="250"/>
      <c r="I44" s="250"/>
      <c r="J44" s="250"/>
      <c r="K44" s="250"/>
      <c r="L44" s="250"/>
      <c r="M44" s="250"/>
      <c r="N44" s="250"/>
      <c r="O44" s="250"/>
      <c r="P44" s="250"/>
      <c r="Q44" s="250"/>
      <c r="R44" s="250"/>
      <c r="S44" s="250"/>
      <c r="T44" s="250"/>
      <c r="U44" s="250"/>
      <c r="V44" s="250"/>
      <c r="W44" s="250"/>
    </row>
    <row r="45" spans="1:23">
      <c r="A45" s="250"/>
      <c r="B45" s="300"/>
      <c r="C45" s="250"/>
      <c r="D45" s="270"/>
      <c r="E45" s="250"/>
      <c r="F45" s="250"/>
      <c r="G45" s="250"/>
      <c r="H45" s="250"/>
      <c r="I45" s="250"/>
      <c r="J45" s="250"/>
      <c r="K45" s="250"/>
      <c r="L45" s="250"/>
      <c r="M45" s="250"/>
      <c r="N45" s="250"/>
      <c r="O45" s="250"/>
      <c r="P45" s="250"/>
      <c r="Q45" s="250"/>
      <c r="R45" s="250"/>
      <c r="S45" s="250"/>
      <c r="T45" s="250"/>
      <c r="U45" s="250"/>
      <c r="V45" s="250"/>
      <c r="W45" s="250"/>
    </row>
    <row r="46" spans="1:23">
      <c r="A46" s="250"/>
      <c r="B46" s="300"/>
      <c r="C46" s="250"/>
      <c r="D46" s="27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50"/>
      <c r="Q46" s="250"/>
      <c r="R46" s="250"/>
      <c r="S46" s="250"/>
      <c r="T46" s="250"/>
      <c r="U46" s="250"/>
      <c r="V46" s="250"/>
      <c r="W46" s="250"/>
    </row>
    <row r="47" spans="1:23">
      <c r="A47" s="250"/>
      <c r="B47" s="300"/>
      <c r="C47" s="250"/>
      <c r="D47" s="270"/>
      <c r="E47" s="250"/>
      <c r="F47" s="250"/>
      <c r="G47" s="250"/>
      <c r="H47" s="250"/>
      <c r="I47" s="250"/>
      <c r="J47" s="250"/>
      <c r="K47" s="250"/>
      <c r="L47" s="250"/>
      <c r="M47" s="250"/>
      <c r="N47" s="250"/>
      <c r="O47" s="250"/>
      <c r="P47" s="250"/>
      <c r="Q47" s="250"/>
      <c r="R47" s="250"/>
      <c r="S47" s="250"/>
      <c r="T47" s="250"/>
      <c r="U47" s="250"/>
      <c r="V47" s="250"/>
      <c r="W47" s="250"/>
    </row>
    <row r="48" spans="1:23">
      <c r="A48" s="250"/>
      <c r="B48" s="300"/>
      <c r="C48" s="250"/>
      <c r="D48" s="27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0"/>
      <c r="R48" s="250"/>
      <c r="S48" s="250"/>
      <c r="T48" s="250"/>
      <c r="U48" s="250"/>
      <c r="V48" s="250"/>
      <c r="W48" s="250"/>
    </row>
    <row r="49" spans="1:23">
      <c r="A49" s="250"/>
      <c r="B49" s="300"/>
      <c r="C49" s="250"/>
      <c r="D49" s="270"/>
      <c r="E49" s="250"/>
      <c r="F49" s="250"/>
      <c r="G49" s="250"/>
      <c r="H49" s="250"/>
      <c r="I49" s="250"/>
      <c r="J49" s="250"/>
      <c r="K49" s="250"/>
      <c r="L49" s="250"/>
      <c r="M49" s="250"/>
      <c r="N49" s="250"/>
      <c r="O49" s="250"/>
      <c r="P49" s="250"/>
      <c r="Q49" s="250"/>
      <c r="R49" s="250"/>
      <c r="S49" s="250"/>
      <c r="T49" s="250"/>
      <c r="U49" s="250"/>
      <c r="V49" s="250"/>
      <c r="W49" s="250"/>
    </row>
    <row r="50" spans="1:23">
      <c r="A50" s="250"/>
      <c r="B50" s="300"/>
      <c r="C50" s="250"/>
      <c r="D50" s="270"/>
      <c r="E50" s="250"/>
      <c r="F50" s="250"/>
      <c r="G50" s="250"/>
      <c r="H50" s="250"/>
      <c r="I50" s="250"/>
      <c r="J50" s="250"/>
      <c r="K50" s="250"/>
      <c r="L50" s="250"/>
      <c r="M50" s="250"/>
      <c r="N50" s="250"/>
      <c r="O50" s="250"/>
      <c r="P50" s="250"/>
      <c r="Q50" s="250"/>
      <c r="R50" s="250"/>
      <c r="S50" s="250"/>
      <c r="T50" s="250"/>
      <c r="U50" s="250"/>
      <c r="V50" s="250"/>
      <c r="W50" s="250"/>
    </row>
    <row r="51" spans="1:23">
      <c r="A51" s="250"/>
      <c r="B51" s="300"/>
      <c r="C51" s="250"/>
      <c r="D51" s="270"/>
      <c r="E51" s="250"/>
      <c r="F51" s="250"/>
      <c r="G51" s="250"/>
      <c r="H51" s="250"/>
      <c r="I51" s="250"/>
      <c r="J51" s="250"/>
      <c r="K51" s="250"/>
      <c r="L51" s="250"/>
      <c r="M51" s="250"/>
      <c r="N51" s="250"/>
      <c r="O51" s="250"/>
      <c r="P51" s="250"/>
      <c r="Q51" s="250"/>
      <c r="R51" s="250"/>
      <c r="S51" s="250"/>
      <c r="T51" s="250"/>
      <c r="U51" s="250"/>
      <c r="V51" s="250"/>
      <c r="W51" s="250"/>
    </row>
    <row r="52" spans="1:23">
      <c r="A52" s="250"/>
      <c r="B52" s="300"/>
      <c r="C52" s="250"/>
      <c r="D52" s="27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</row>
    <row r="53" spans="1:23">
      <c r="A53" s="250"/>
      <c r="B53" s="300"/>
      <c r="C53" s="250"/>
      <c r="D53" s="270"/>
      <c r="E53" s="250"/>
      <c r="F53" s="250"/>
      <c r="G53" s="250"/>
      <c r="H53" s="250"/>
      <c r="I53" s="250"/>
      <c r="J53" s="250"/>
      <c r="K53" s="250"/>
      <c r="L53" s="250"/>
      <c r="M53" s="250"/>
      <c r="N53" s="250"/>
      <c r="O53" s="250"/>
      <c r="P53" s="250"/>
      <c r="Q53" s="250"/>
      <c r="R53" s="250"/>
      <c r="S53" s="250"/>
      <c r="T53" s="250"/>
      <c r="U53" s="250"/>
      <c r="V53" s="250"/>
      <c r="W53" s="250"/>
    </row>
    <row r="54" spans="1:23">
      <c r="A54" s="250"/>
      <c r="B54" s="300"/>
      <c r="C54" s="250"/>
      <c r="D54" s="270"/>
      <c r="E54" s="250"/>
      <c r="F54" s="250"/>
      <c r="G54" s="250"/>
      <c r="H54" s="250"/>
      <c r="I54" s="250"/>
      <c r="J54" s="250"/>
      <c r="K54" s="250"/>
      <c r="L54" s="250"/>
      <c r="M54" s="250"/>
      <c r="N54" s="250"/>
      <c r="O54" s="250"/>
      <c r="P54" s="250"/>
      <c r="Q54" s="250"/>
      <c r="R54" s="250"/>
      <c r="S54" s="250"/>
      <c r="T54" s="250"/>
      <c r="U54" s="250"/>
      <c r="V54" s="250"/>
      <c r="W54" s="250"/>
    </row>
    <row r="55" spans="1:23">
      <c r="A55" s="250"/>
      <c r="B55" s="300"/>
      <c r="C55" s="250"/>
      <c r="D55" s="270"/>
      <c r="E55" s="250"/>
      <c r="F55" s="250"/>
      <c r="G55" s="250"/>
      <c r="H55" s="250"/>
      <c r="I55" s="250"/>
      <c r="J55" s="250"/>
      <c r="K55" s="250"/>
      <c r="L55" s="250"/>
      <c r="M55" s="250"/>
      <c r="N55" s="250"/>
      <c r="O55" s="250"/>
      <c r="P55" s="250"/>
      <c r="Q55" s="250"/>
      <c r="R55" s="250"/>
      <c r="S55" s="250"/>
      <c r="T55" s="250"/>
      <c r="U55" s="250"/>
      <c r="V55" s="250"/>
      <c r="W55" s="250"/>
    </row>
    <row r="56" spans="1:23">
      <c r="A56" s="250"/>
      <c r="B56" s="300"/>
      <c r="C56" s="250"/>
      <c r="D56" s="270"/>
      <c r="E56" s="250"/>
      <c r="F56" s="250"/>
      <c r="G56" s="250"/>
      <c r="H56" s="250"/>
      <c r="I56" s="250"/>
      <c r="J56" s="250"/>
      <c r="K56" s="250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</row>
    <row r="57" spans="1:23">
      <c r="A57" s="250"/>
      <c r="B57" s="300"/>
      <c r="C57" s="250"/>
      <c r="D57" s="270"/>
      <c r="E57" s="250"/>
      <c r="F57" s="250"/>
      <c r="G57" s="250"/>
      <c r="H57" s="250"/>
      <c r="I57" s="250"/>
      <c r="J57" s="250"/>
      <c r="K57" s="250"/>
      <c r="L57" s="250"/>
      <c r="M57" s="250"/>
      <c r="N57" s="250"/>
      <c r="O57" s="250"/>
      <c r="P57" s="250"/>
      <c r="Q57" s="250"/>
      <c r="R57" s="250"/>
      <c r="S57" s="250"/>
      <c r="T57" s="250"/>
      <c r="U57" s="250"/>
      <c r="V57" s="250"/>
      <c r="W57" s="250"/>
    </row>
    <row r="58" spans="1:23">
      <c r="A58" s="250"/>
      <c r="B58" s="300"/>
      <c r="C58" s="250"/>
      <c r="D58" s="270"/>
      <c r="E58" s="250"/>
      <c r="F58" s="250"/>
      <c r="G58" s="250"/>
      <c r="H58" s="250"/>
      <c r="I58" s="250"/>
      <c r="J58" s="250"/>
      <c r="K58" s="250"/>
      <c r="L58" s="250"/>
      <c r="M58" s="250"/>
      <c r="N58" s="250"/>
      <c r="O58" s="250"/>
      <c r="P58" s="250"/>
      <c r="Q58" s="250"/>
      <c r="R58" s="250"/>
      <c r="S58" s="250"/>
      <c r="T58" s="250"/>
      <c r="U58" s="250"/>
      <c r="V58" s="250"/>
      <c r="W58" s="250"/>
    </row>
    <row r="59" spans="1:23">
      <c r="A59" s="250"/>
      <c r="B59" s="300"/>
      <c r="C59" s="250"/>
      <c r="D59" s="270"/>
      <c r="E59" s="250"/>
      <c r="F59" s="250"/>
      <c r="G59" s="250"/>
      <c r="H59" s="250"/>
      <c r="I59" s="250"/>
      <c r="J59" s="250"/>
      <c r="K59" s="250"/>
      <c r="L59" s="250"/>
      <c r="M59" s="250"/>
      <c r="N59" s="250"/>
      <c r="O59" s="250"/>
      <c r="P59" s="250"/>
      <c r="Q59" s="250"/>
      <c r="R59" s="250"/>
      <c r="S59" s="250"/>
      <c r="T59" s="250"/>
      <c r="U59" s="250"/>
      <c r="V59" s="250"/>
      <c r="W59" s="250"/>
    </row>
    <row r="60" spans="1:23">
      <c r="A60" s="250"/>
      <c r="B60" s="300"/>
      <c r="C60" s="250"/>
      <c r="D60" s="270"/>
      <c r="E60" s="250"/>
      <c r="F60" s="250"/>
      <c r="G60" s="250"/>
      <c r="H60" s="250"/>
      <c r="I60" s="250"/>
      <c r="J60" s="250"/>
      <c r="K60" s="250"/>
      <c r="L60" s="250"/>
      <c r="M60" s="250"/>
      <c r="N60" s="250"/>
      <c r="O60" s="250"/>
      <c r="P60" s="250"/>
      <c r="Q60" s="250"/>
      <c r="R60" s="250"/>
      <c r="S60" s="250"/>
      <c r="T60" s="250"/>
      <c r="U60" s="250"/>
      <c r="V60" s="250"/>
      <c r="W60" s="250"/>
    </row>
    <row r="61" spans="1:23">
      <c r="A61" s="250"/>
      <c r="B61" s="300"/>
      <c r="C61" s="250"/>
      <c r="D61" s="270"/>
      <c r="E61" s="250"/>
      <c r="F61" s="250"/>
      <c r="G61" s="250"/>
      <c r="H61" s="250"/>
      <c r="I61" s="250"/>
      <c r="J61" s="250"/>
      <c r="K61" s="250"/>
      <c r="L61" s="250"/>
      <c r="M61" s="250"/>
      <c r="N61" s="250"/>
      <c r="O61" s="250"/>
      <c r="P61" s="250"/>
      <c r="Q61" s="250"/>
      <c r="R61" s="250"/>
      <c r="S61" s="250"/>
      <c r="T61" s="250"/>
      <c r="U61" s="250"/>
      <c r="V61" s="250"/>
      <c r="W61" s="250"/>
    </row>
    <row r="62" spans="1:23">
      <c r="A62" s="250"/>
      <c r="B62" s="300"/>
      <c r="C62" s="250"/>
      <c r="D62" s="270"/>
      <c r="E62" s="250"/>
      <c r="F62" s="250"/>
      <c r="G62" s="250"/>
      <c r="H62" s="250"/>
      <c r="I62" s="250"/>
      <c r="J62" s="250"/>
      <c r="K62" s="250"/>
      <c r="L62" s="250"/>
      <c r="M62" s="250"/>
      <c r="N62" s="250"/>
      <c r="O62" s="250"/>
      <c r="P62" s="250"/>
      <c r="Q62" s="250"/>
      <c r="R62" s="250"/>
      <c r="S62" s="250"/>
      <c r="T62" s="250"/>
      <c r="U62" s="250"/>
      <c r="V62" s="250"/>
      <c r="W62" s="250"/>
    </row>
    <row r="63" spans="1:23">
      <c r="A63" s="250"/>
      <c r="B63" s="300"/>
      <c r="C63" s="250"/>
      <c r="D63" s="270"/>
      <c r="E63" s="250"/>
      <c r="F63" s="250"/>
      <c r="G63" s="250"/>
      <c r="H63" s="250"/>
      <c r="I63" s="250"/>
      <c r="J63" s="250"/>
      <c r="K63" s="250"/>
      <c r="L63" s="250"/>
      <c r="M63" s="250"/>
      <c r="N63" s="250"/>
      <c r="O63" s="250"/>
      <c r="P63" s="250"/>
      <c r="Q63" s="250"/>
      <c r="R63" s="250"/>
      <c r="S63" s="250"/>
      <c r="T63" s="250"/>
      <c r="U63" s="250"/>
      <c r="V63" s="250"/>
      <c r="W63" s="250"/>
    </row>
    <row r="64" spans="1:23">
      <c r="A64" s="250"/>
      <c r="B64" s="300"/>
      <c r="C64" s="250"/>
      <c r="D64" s="270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  <c r="Q64" s="250"/>
      <c r="R64" s="250"/>
      <c r="S64" s="250"/>
      <c r="T64" s="250"/>
      <c r="U64" s="250"/>
      <c r="V64" s="250"/>
      <c r="W64" s="250"/>
    </row>
    <row r="65" spans="1:23">
      <c r="A65" s="250"/>
      <c r="B65" s="300"/>
      <c r="C65" s="250"/>
      <c r="D65" s="270"/>
      <c r="E65" s="250"/>
      <c r="F65" s="250"/>
      <c r="G65" s="250"/>
      <c r="H65" s="250"/>
      <c r="I65" s="250"/>
      <c r="J65" s="250"/>
      <c r="K65" s="250"/>
      <c r="L65" s="250"/>
      <c r="M65" s="250"/>
      <c r="N65" s="250"/>
      <c r="O65" s="250"/>
      <c r="P65" s="250"/>
      <c r="Q65" s="250"/>
      <c r="R65" s="250"/>
      <c r="S65" s="250"/>
      <c r="T65" s="250"/>
      <c r="U65" s="250"/>
      <c r="V65" s="250"/>
      <c r="W65" s="250"/>
    </row>
    <row r="66" spans="1:23">
      <c r="A66" s="250"/>
      <c r="B66" s="300"/>
      <c r="C66" s="250"/>
      <c r="D66" s="270"/>
      <c r="E66" s="250"/>
      <c r="F66" s="250"/>
      <c r="G66" s="250"/>
      <c r="H66" s="250"/>
      <c r="I66" s="250"/>
      <c r="J66" s="250"/>
      <c r="K66" s="250"/>
      <c r="L66" s="250"/>
      <c r="M66" s="250"/>
      <c r="N66" s="250"/>
      <c r="O66" s="250"/>
      <c r="P66" s="250"/>
      <c r="Q66" s="250"/>
      <c r="R66" s="250"/>
      <c r="S66" s="250"/>
      <c r="T66" s="250"/>
      <c r="U66" s="250"/>
      <c r="V66" s="250"/>
      <c r="W66" s="250"/>
    </row>
    <row r="67" spans="1:23">
      <c r="A67" s="250"/>
      <c r="B67" s="300"/>
      <c r="C67" s="250"/>
      <c r="D67" s="270"/>
      <c r="E67" s="250"/>
      <c r="F67" s="250"/>
      <c r="G67" s="250"/>
      <c r="H67" s="250"/>
      <c r="I67" s="250"/>
      <c r="J67" s="250"/>
      <c r="K67" s="250"/>
      <c r="L67" s="250"/>
      <c r="M67" s="250"/>
      <c r="N67" s="250"/>
      <c r="O67" s="250"/>
      <c r="P67" s="250"/>
      <c r="Q67" s="250"/>
      <c r="R67" s="250"/>
      <c r="S67" s="250"/>
      <c r="T67" s="250"/>
      <c r="U67" s="250"/>
      <c r="V67" s="250"/>
      <c r="W67" s="250"/>
    </row>
    <row r="68" spans="1:23">
      <c r="A68" s="250"/>
      <c r="B68" s="300"/>
      <c r="C68" s="250"/>
      <c r="D68" s="270"/>
      <c r="E68" s="250"/>
      <c r="F68" s="250"/>
      <c r="G68" s="250"/>
      <c r="H68" s="250"/>
      <c r="I68" s="250"/>
      <c r="J68" s="250"/>
      <c r="K68" s="250"/>
      <c r="L68" s="250"/>
      <c r="M68" s="250"/>
      <c r="N68" s="250"/>
      <c r="O68" s="250"/>
      <c r="P68" s="250"/>
      <c r="Q68" s="250"/>
      <c r="R68" s="250"/>
      <c r="S68" s="250"/>
      <c r="T68" s="250"/>
      <c r="U68" s="250"/>
      <c r="V68" s="250"/>
      <c r="W68" s="250"/>
    </row>
    <row r="69" spans="1:23">
      <c r="A69" s="250"/>
      <c r="B69" s="300"/>
      <c r="C69" s="250"/>
      <c r="D69" s="270"/>
      <c r="E69" s="250"/>
      <c r="F69" s="250"/>
      <c r="G69" s="250"/>
      <c r="H69" s="250"/>
      <c r="I69" s="250"/>
      <c r="J69" s="250"/>
      <c r="K69" s="250"/>
      <c r="L69" s="250"/>
      <c r="M69" s="250"/>
      <c r="N69" s="250"/>
      <c r="O69" s="250"/>
      <c r="P69" s="250"/>
      <c r="Q69" s="250"/>
      <c r="R69" s="250"/>
      <c r="S69" s="250"/>
      <c r="T69" s="250"/>
      <c r="U69" s="250"/>
      <c r="V69" s="250"/>
      <c r="W69" s="250"/>
    </row>
    <row r="70" spans="1:23">
      <c r="A70" s="250"/>
      <c r="B70" s="300"/>
      <c r="C70" s="250"/>
      <c r="D70" s="270"/>
      <c r="E70" s="250"/>
      <c r="F70" s="250"/>
      <c r="G70" s="250"/>
      <c r="H70" s="250"/>
      <c r="I70" s="250"/>
      <c r="J70" s="250"/>
      <c r="K70" s="250"/>
      <c r="L70" s="250"/>
      <c r="M70" s="250"/>
      <c r="N70" s="250"/>
      <c r="O70" s="250"/>
      <c r="P70" s="250"/>
      <c r="Q70" s="250"/>
      <c r="R70" s="250"/>
      <c r="S70" s="250"/>
      <c r="T70" s="250"/>
      <c r="U70" s="250"/>
      <c r="V70" s="250"/>
      <c r="W70" s="250"/>
    </row>
    <row r="71" spans="1:23">
      <c r="A71" s="250"/>
      <c r="B71" s="300"/>
      <c r="C71" s="250"/>
      <c r="D71" s="270"/>
      <c r="E71" s="250"/>
      <c r="F71" s="250"/>
      <c r="G71" s="250"/>
      <c r="H71" s="250"/>
      <c r="I71" s="250"/>
      <c r="J71" s="250"/>
      <c r="K71" s="250"/>
      <c r="L71" s="250"/>
      <c r="M71" s="250"/>
      <c r="N71" s="250"/>
      <c r="O71" s="250"/>
      <c r="P71" s="250"/>
      <c r="Q71" s="250"/>
      <c r="R71" s="250"/>
      <c r="S71" s="250"/>
      <c r="T71" s="250"/>
      <c r="U71" s="250"/>
      <c r="V71" s="250"/>
      <c r="W71" s="250"/>
    </row>
    <row r="72" spans="1:23">
      <c r="A72" s="250"/>
      <c r="B72" s="300"/>
      <c r="C72" s="250"/>
      <c r="D72" s="27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</row>
    <row r="73" spans="1:23">
      <c r="A73" s="250"/>
      <c r="B73" s="300"/>
      <c r="C73" s="250"/>
      <c r="D73" s="270"/>
      <c r="E73" s="250"/>
      <c r="F73" s="250"/>
      <c r="G73" s="250"/>
      <c r="H73" s="250"/>
      <c r="I73" s="250"/>
      <c r="J73" s="250"/>
      <c r="K73" s="250"/>
      <c r="L73" s="250"/>
      <c r="M73" s="250"/>
      <c r="N73" s="250"/>
      <c r="O73" s="250"/>
      <c r="P73" s="250"/>
      <c r="Q73" s="250"/>
      <c r="R73" s="250"/>
      <c r="S73" s="250"/>
      <c r="T73" s="250"/>
      <c r="U73" s="250"/>
      <c r="V73" s="250"/>
      <c r="W73" s="250"/>
    </row>
    <row r="74" spans="1:23">
      <c r="A74" s="250"/>
      <c r="B74" s="300"/>
      <c r="C74" s="250"/>
      <c r="D74" s="270"/>
      <c r="E74" s="250"/>
      <c r="F74" s="250"/>
      <c r="G74" s="250"/>
      <c r="H74" s="250"/>
      <c r="I74" s="250"/>
      <c r="J74" s="250"/>
      <c r="K74" s="250"/>
      <c r="L74" s="250"/>
      <c r="M74" s="250"/>
      <c r="N74" s="250"/>
      <c r="O74" s="250"/>
      <c r="P74" s="250"/>
      <c r="Q74" s="250"/>
      <c r="R74" s="250"/>
      <c r="S74" s="250"/>
      <c r="T74" s="250"/>
      <c r="U74" s="250"/>
      <c r="V74" s="250"/>
      <c r="W74" s="250"/>
    </row>
    <row r="75" spans="1:23">
      <c r="A75" s="250"/>
      <c r="B75" s="300"/>
      <c r="C75" s="250"/>
      <c r="D75" s="270"/>
      <c r="E75" s="250"/>
      <c r="F75" s="250"/>
      <c r="G75" s="250"/>
      <c r="H75" s="250"/>
      <c r="I75" s="250"/>
      <c r="J75" s="250"/>
      <c r="K75" s="250"/>
      <c r="L75" s="250"/>
      <c r="M75" s="250"/>
      <c r="N75" s="250"/>
      <c r="O75" s="250"/>
      <c r="P75" s="250"/>
      <c r="Q75" s="250"/>
      <c r="R75" s="250"/>
      <c r="S75" s="250"/>
      <c r="T75" s="250"/>
      <c r="U75" s="250"/>
      <c r="V75" s="250"/>
      <c r="W75" s="250"/>
    </row>
    <row r="76" spans="1:23">
      <c r="A76" s="250"/>
      <c r="B76" s="300"/>
      <c r="C76" s="250"/>
      <c r="D76" s="270"/>
      <c r="E76" s="250"/>
      <c r="F76" s="250"/>
      <c r="G76" s="250"/>
      <c r="H76" s="250"/>
      <c r="I76" s="250"/>
      <c r="J76" s="250"/>
      <c r="K76" s="250"/>
      <c r="L76" s="250"/>
      <c r="M76" s="250"/>
      <c r="N76" s="250"/>
      <c r="O76" s="250"/>
      <c r="P76" s="250"/>
      <c r="Q76" s="250"/>
      <c r="R76" s="250"/>
      <c r="S76" s="250"/>
      <c r="T76" s="250"/>
      <c r="U76" s="250"/>
      <c r="V76" s="250"/>
      <c r="W76" s="250"/>
    </row>
    <row r="77" spans="1:23">
      <c r="A77" s="250"/>
      <c r="B77" s="300"/>
      <c r="C77" s="250"/>
      <c r="D77" s="270"/>
      <c r="E77" s="250"/>
      <c r="F77" s="250"/>
      <c r="G77" s="250"/>
      <c r="H77" s="250"/>
      <c r="I77" s="250"/>
      <c r="J77" s="250"/>
      <c r="K77" s="250"/>
      <c r="L77" s="250"/>
      <c r="M77" s="250"/>
      <c r="N77" s="250"/>
      <c r="O77" s="250"/>
      <c r="P77" s="250"/>
      <c r="Q77" s="250"/>
      <c r="R77" s="250"/>
      <c r="S77" s="250"/>
      <c r="T77" s="250"/>
      <c r="U77" s="250"/>
      <c r="V77" s="250"/>
      <c r="W77" s="250"/>
    </row>
    <row r="78" spans="1:23">
      <c r="A78" s="250"/>
      <c r="B78" s="300"/>
      <c r="C78" s="250"/>
      <c r="D78" s="270"/>
      <c r="E78" s="250"/>
      <c r="F78" s="250"/>
      <c r="G78" s="250"/>
      <c r="H78" s="250"/>
      <c r="I78" s="250"/>
      <c r="J78" s="250"/>
      <c r="K78" s="250"/>
      <c r="L78" s="250"/>
      <c r="M78" s="250"/>
      <c r="N78" s="250"/>
      <c r="O78" s="250"/>
      <c r="P78" s="250"/>
      <c r="Q78" s="250"/>
      <c r="R78" s="250"/>
      <c r="S78" s="250"/>
      <c r="T78" s="250"/>
      <c r="U78" s="250"/>
      <c r="V78" s="250"/>
      <c r="W78" s="250"/>
    </row>
    <row r="79" spans="1:23">
      <c r="A79" s="250"/>
      <c r="B79" s="300"/>
      <c r="C79" s="250"/>
      <c r="D79" s="270"/>
      <c r="E79" s="250"/>
      <c r="F79" s="250"/>
      <c r="G79" s="250"/>
      <c r="H79" s="250"/>
      <c r="I79" s="250"/>
      <c r="J79" s="250"/>
      <c r="K79" s="250"/>
      <c r="L79" s="250"/>
      <c r="M79" s="250"/>
      <c r="N79" s="250"/>
      <c r="O79" s="250"/>
      <c r="P79" s="250"/>
      <c r="Q79" s="250"/>
      <c r="R79" s="250"/>
      <c r="S79" s="250"/>
      <c r="T79" s="250"/>
      <c r="U79" s="250"/>
      <c r="V79" s="250"/>
      <c r="W79" s="250"/>
    </row>
    <row r="80" spans="1:23">
      <c r="A80" s="250"/>
      <c r="B80" s="300"/>
      <c r="C80" s="250"/>
      <c r="D80" s="270"/>
      <c r="E80" s="250"/>
      <c r="F80" s="250"/>
      <c r="G80" s="250"/>
      <c r="H80" s="250"/>
      <c r="I80" s="250"/>
      <c r="J80" s="250"/>
      <c r="K80" s="250"/>
      <c r="L80" s="250"/>
      <c r="M80" s="250"/>
      <c r="N80" s="250"/>
      <c r="O80" s="250"/>
      <c r="P80" s="250"/>
      <c r="Q80" s="250"/>
      <c r="R80" s="250"/>
      <c r="S80" s="250"/>
      <c r="T80" s="250"/>
      <c r="U80" s="250"/>
      <c r="V80" s="250"/>
      <c r="W80" s="250"/>
    </row>
    <row r="81" spans="1:23">
      <c r="A81" s="250"/>
      <c r="B81" s="300"/>
      <c r="C81" s="250"/>
      <c r="D81" s="270"/>
      <c r="E81" s="250"/>
      <c r="F81" s="250"/>
      <c r="G81" s="250"/>
      <c r="H81" s="250"/>
      <c r="I81" s="250"/>
      <c r="J81" s="250"/>
      <c r="K81" s="250"/>
      <c r="L81" s="250"/>
      <c r="M81" s="250"/>
      <c r="N81" s="250"/>
      <c r="O81" s="250"/>
      <c r="P81" s="250"/>
      <c r="Q81" s="250"/>
      <c r="R81" s="250"/>
      <c r="S81" s="250"/>
      <c r="T81" s="250"/>
      <c r="U81" s="250"/>
      <c r="V81" s="250"/>
      <c r="W81" s="250"/>
    </row>
    <row r="82" spans="1:23">
      <c r="A82" s="250"/>
      <c r="B82" s="300"/>
      <c r="C82" s="250"/>
      <c r="D82" s="270"/>
      <c r="E82" s="250"/>
      <c r="F82" s="250"/>
      <c r="G82" s="250"/>
      <c r="H82" s="250"/>
      <c r="I82" s="250"/>
      <c r="J82" s="250"/>
      <c r="K82" s="250"/>
      <c r="L82" s="250"/>
      <c r="M82" s="250"/>
      <c r="N82" s="250"/>
      <c r="O82" s="250"/>
      <c r="P82" s="250"/>
      <c r="Q82" s="250"/>
      <c r="R82" s="250"/>
      <c r="S82" s="250"/>
      <c r="T82" s="250"/>
      <c r="U82" s="250"/>
      <c r="V82" s="250"/>
      <c r="W82" s="250"/>
    </row>
    <row r="83" spans="1:23">
      <c r="A83" s="250"/>
      <c r="B83" s="300"/>
      <c r="C83" s="250"/>
      <c r="D83" s="270"/>
      <c r="E83" s="250"/>
      <c r="F83" s="250"/>
      <c r="G83" s="250"/>
      <c r="H83" s="250"/>
      <c r="I83" s="250"/>
      <c r="J83" s="250"/>
      <c r="K83" s="250"/>
      <c r="L83" s="250"/>
      <c r="M83" s="250"/>
      <c r="N83" s="250"/>
      <c r="O83" s="250"/>
      <c r="P83" s="250"/>
      <c r="Q83" s="250"/>
      <c r="R83" s="250"/>
      <c r="S83" s="250"/>
      <c r="T83" s="250"/>
      <c r="U83" s="250"/>
      <c r="V83" s="250"/>
      <c r="W83" s="250"/>
    </row>
    <row r="84" spans="1:23">
      <c r="A84" s="250"/>
      <c r="B84" s="300"/>
      <c r="C84" s="250"/>
      <c r="D84" s="270"/>
      <c r="E84" s="250"/>
      <c r="F84" s="250"/>
      <c r="G84" s="250"/>
      <c r="H84" s="250"/>
      <c r="I84" s="250"/>
      <c r="J84" s="250"/>
      <c r="K84" s="250"/>
      <c r="L84" s="250"/>
      <c r="M84" s="250"/>
      <c r="N84" s="250"/>
      <c r="O84" s="250"/>
      <c r="P84" s="250"/>
      <c r="Q84" s="250"/>
      <c r="R84" s="250"/>
      <c r="S84" s="250"/>
      <c r="T84" s="250"/>
      <c r="U84" s="250"/>
      <c r="V84" s="250"/>
      <c r="W84" s="250"/>
    </row>
    <row r="85" spans="1:23">
      <c r="A85" s="250"/>
      <c r="B85" s="300"/>
      <c r="C85" s="250"/>
      <c r="D85" s="270"/>
      <c r="E85" s="250"/>
      <c r="F85" s="250"/>
      <c r="G85" s="250"/>
      <c r="H85" s="250"/>
      <c r="I85" s="250"/>
      <c r="J85" s="250"/>
      <c r="K85" s="250"/>
      <c r="L85" s="250"/>
      <c r="M85" s="250"/>
      <c r="N85" s="250"/>
      <c r="O85" s="250"/>
      <c r="P85" s="250"/>
      <c r="Q85" s="250"/>
      <c r="R85" s="250"/>
      <c r="S85" s="250"/>
      <c r="T85" s="250"/>
      <c r="U85" s="250"/>
      <c r="V85" s="250"/>
      <c r="W85" s="250"/>
    </row>
    <row r="86" spans="1:23">
      <c r="A86" s="250"/>
      <c r="B86" s="300"/>
      <c r="C86" s="250"/>
      <c r="D86" s="270"/>
      <c r="E86" s="250"/>
      <c r="F86" s="250"/>
      <c r="G86" s="250"/>
      <c r="H86" s="250"/>
      <c r="I86" s="250"/>
      <c r="J86" s="250"/>
      <c r="K86" s="250"/>
      <c r="L86" s="250"/>
      <c r="M86" s="250"/>
      <c r="N86" s="250"/>
      <c r="O86" s="250"/>
      <c r="P86" s="250"/>
      <c r="Q86" s="250"/>
      <c r="R86" s="250"/>
      <c r="S86" s="250"/>
      <c r="T86" s="250"/>
      <c r="U86" s="250"/>
      <c r="V86" s="250"/>
      <c r="W86" s="250"/>
    </row>
    <row r="87" spans="1:23">
      <c r="A87" s="250"/>
      <c r="B87" s="300"/>
      <c r="C87" s="250"/>
      <c r="D87" s="270"/>
      <c r="E87" s="250"/>
      <c r="F87" s="250"/>
      <c r="G87" s="250"/>
      <c r="H87" s="250"/>
      <c r="I87" s="250"/>
      <c r="J87" s="250"/>
      <c r="K87" s="250"/>
      <c r="L87" s="250"/>
      <c r="M87" s="250"/>
      <c r="N87" s="250"/>
      <c r="O87" s="250"/>
      <c r="P87" s="250"/>
      <c r="Q87" s="250"/>
      <c r="R87" s="250"/>
      <c r="S87" s="250"/>
      <c r="T87" s="250"/>
      <c r="U87" s="250"/>
      <c r="V87" s="250"/>
      <c r="W87" s="250"/>
    </row>
    <row r="88" spans="1:23">
      <c r="A88" s="250"/>
      <c r="B88" s="300"/>
      <c r="C88" s="250"/>
      <c r="D88" s="270"/>
      <c r="E88" s="250"/>
      <c r="F88" s="250"/>
      <c r="G88" s="250"/>
      <c r="H88" s="250"/>
      <c r="I88" s="250"/>
      <c r="J88" s="250"/>
      <c r="K88" s="250"/>
      <c r="L88" s="250"/>
      <c r="M88" s="250"/>
      <c r="N88" s="250"/>
      <c r="O88" s="250"/>
      <c r="P88" s="250"/>
      <c r="Q88" s="250"/>
      <c r="R88" s="250"/>
      <c r="S88" s="250"/>
      <c r="T88" s="250"/>
      <c r="U88" s="250"/>
      <c r="V88" s="250"/>
      <c r="W88" s="250"/>
    </row>
    <row r="89" spans="1:23">
      <c r="A89" s="250"/>
      <c r="B89" s="300"/>
      <c r="C89" s="250"/>
      <c r="D89" s="270"/>
      <c r="E89" s="250"/>
      <c r="F89" s="250"/>
      <c r="G89" s="250"/>
      <c r="H89" s="250"/>
      <c r="I89" s="250"/>
      <c r="J89" s="250"/>
      <c r="K89" s="250"/>
      <c r="L89" s="250"/>
      <c r="M89" s="250"/>
      <c r="N89" s="250"/>
      <c r="O89" s="250"/>
      <c r="P89" s="250"/>
      <c r="Q89" s="250"/>
      <c r="R89" s="250"/>
      <c r="S89" s="250"/>
      <c r="T89" s="250"/>
      <c r="U89" s="250"/>
      <c r="V89" s="250"/>
      <c r="W89" s="250"/>
    </row>
    <row r="90" spans="1:23">
      <c r="A90" s="250"/>
      <c r="B90" s="300"/>
      <c r="C90" s="250"/>
      <c r="D90" s="270"/>
      <c r="E90" s="250"/>
      <c r="F90" s="250"/>
      <c r="G90" s="250"/>
      <c r="H90" s="250"/>
      <c r="I90" s="250"/>
      <c r="J90" s="250"/>
      <c r="K90" s="250"/>
      <c r="L90" s="250"/>
      <c r="M90" s="250"/>
      <c r="N90" s="250"/>
      <c r="O90" s="250"/>
      <c r="P90" s="250"/>
      <c r="Q90" s="250"/>
      <c r="R90" s="250"/>
      <c r="S90" s="250"/>
      <c r="T90" s="250"/>
      <c r="U90" s="250"/>
      <c r="V90" s="250"/>
      <c r="W90" s="250"/>
    </row>
    <row r="91" spans="1:23">
      <c r="A91" s="250"/>
      <c r="B91" s="300"/>
      <c r="C91" s="250"/>
      <c r="D91" s="270"/>
      <c r="E91" s="250"/>
      <c r="F91" s="250"/>
      <c r="G91" s="250"/>
      <c r="H91" s="250"/>
      <c r="I91" s="250"/>
      <c r="J91" s="250"/>
      <c r="K91" s="250"/>
      <c r="L91" s="250"/>
      <c r="M91" s="250"/>
      <c r="N91" s="250"/>
      <c r="O91" s="250"/>
      <c r="P91" s="250"/>
      <c r="Q91" s="250"/>
      <c r="R91" s="250"/>
      <c r="S91" s="250"/>
      <c r="T91" s="250"/>
      <c r="U91" s="250"/>
      <c r="V91" s="250"/>
      <c r="W91" s="250"/>
    </row>
    <row r="92" spans="1:23">
      <c r="A92" s="250"/>
      <c r="B92" s="300"/>
      <c r="C92" s="250"/>
      <c r="D92" s="270"/>
      <c r="E92" s="250"/>
      <c r="F92" s="250"/>
      <c r="G92" s="250"/>
      <c r="H92" s="250"/>
      <c r="I92" s="250"/>
      <c r="J92" s="250"/>
      <c r="K92" s="250"/>
      <c r="L92" s="250"/>
      <c r="M92" s="250"/>
      <c r="N92" s="250"/>
      <c r="O92" s="250"/>
      <c r="P92" s="250"/>
      <c r="Q92" s="250"/>
      <c r="R92" s="250"/>
      <c r="S92" s="250"/>
      <c r="T92" s="250"/>
      <c r="U92" s="250"/>
      <c r="V92" s="250"/>
      <c r="W92" s="250"/>
    </row>
    <row r="93" spans="1:23">
      <c r="A93" s="250"/>
      <c r="B93" s="300"/>
      <c r="C93" s="250"/>
      <c r="D93" s="270"/>
      <c r="E93" s="250"/>
      <c r="F93" s="250"/>
      <c r="G93" s="250"/>
      <c r="H93" s="250"/>
      <c r="I93" s="250"/>
      <c r="J93" s="250"/>
      <c r="K93" s="250"/>
      <c r="L93" s="250"/>
      <c r="M93" s="250"/>
      <c r="N93" s="250"/>
      <c r="O93" s="250"/>
      <c r="P93" s="250"/>
      <c r="Q93" s="250"/>
      <c r="R93" s="250"/>
      <c r="S93" s="250"/>
      <c r="T93" s="250"/>
      <c r="U93" s="250"/>
      <c r="V93" s="250"/>
      <c r="W93" s="250"/>
    </row>
    <row r="94" spans="1:23">
      <c r="A94" s="250"/>
      <c r="B94" s="300"/>
      <c r="C94" s="250"/>
      <c r="D94" s="270"/>
      <c r="E94" s="250"/>
      <c r="F94" s="250"/>
      <c r="G94" s="250"/>
      <c r="H94" s="250"/>
      <c r="I94" s="250"/>
      <c r="J94" s="250"/>
      <c r="K94" s="250"/>
      <c r="L94" s="250"/>
      <c r="M94" s="250"/>
      <c r="N94" s="250"/>
      <c r="O94" s="250"/>
      <c r="P94" s="250"/>
      <c r="Q94" s="250"/>
      <c r="R94" s="250"/>
      <c r="S94" s="250"/>
      <c r="T94" s="250"/>
      <c r="U94" s="250"/>
      <c r="V94" s="250"/>
      <c r="W94" s="250"/>
    </row>
    <row r="95" spans="1:23">
      <c r="A95" s="250"/>
      <c r="B95" s="300"/>
      <c r="C95" s="250"/>
      <c r="D95" s="270"/>
      <c r="E95" s="250"/>
      <c r="F95" s="250"/>
      <c r="G95" s="250"/>
      <c r="H95" s="250"/>
      <c r="I95" s="250"/>
      <c r="J95" s="250"/>
      <c r="K95" s="250"/>
      <c r="L95" s="250"/>
      <c r="M95" s="250"/>
      <c r="N95" s="250"/>
      <c r="O95" s="250"/>
      <c r="P95" s="250"/>
      <c r="Q95" s="250"/>
      <c r="R95" s="250"/>
      <c r="S95" s="250"/>
      <c r="T95" s="250"/>
      <c r="U95" s="250"/>
      <c r="V95" s="250"/>
      <c r="W95" s="250"/>
    </row>
    <row r="96" spans="1:23">
      <c r="A96" s="250"/>
      <c r="B96" s="300"/>
      <c r="C96" s="250"/>
      <c r="D96" s="270"/>
      <c r="E96" s="250"/>
      <c r="F96" s="250"/>
      <c r="G96" s="250"/>
      <c r="H96" s="250"/>
      <c r="I96" s="250"/>
      <c r="J96" s="250"/>
      <c r="K96" s="250"/>
      <c r="L96" s="250"/>
      <c r="M96" s="250"/>
      <c r="N96" s="250"/>
      <c r="O96" s="250"/>
      <c r="P96" s="250"/>
      <c r="Q96" s="250"/>
      <c r="R96" s="250"/>
      <c r="S96" s="250"/>
      <c r="T96" s="250"/>
      <c r="U96" s="250"/>
      <c r="V96" s="250"/>
      <c r="W96" s="250"/>
    </row>
    <row r="97" spans="1:23">
      <c r="A97" s="250"/>
      <c r="B97" s="300"/>
      <c r="C97" s="250"/>
      <c r="D97" s="270"/>
      <c r="E97" s="250"/>
      <c r="F97" s="250"/>
      <c r="G97" s="250"/>
      <c r="H97" s="250"/>
      <c r="I97" s="250"/>
      <c r="J97" s="250"/>
      <c r="K97" s="250"/>
      <c r="L97" s="250"/>
      <c r="M97" s="250"/>
      <c r="N97" s="250"/>
      <c r="O97" s="250"/>
      <c r="P97" s="250"/>
      <c r="Q97" s="250"/>
      <c r="R97" s="250"/>
      <c r="S97" s="250"/>
      <c r="T97" s="250"/>
      <c r="U97" s="250"/>
      <c r="V97" s="250"/>
      <c r="W97" s="250"/>
    </row>
    <row r="98" spans="1:23">
      <c r="A98" s="250"/>
      <c r="B98" s="300"/>
      <c r="C98" s="250"/>
      <c r="D98" s="270"/>
      <c r="E98" s="250"/>
      <c r="F98" s="250"/>
      <c r="G98" s="250"/>
      <c r="H98" s="250"/>
      <c r="I98" s="250"/>
      <c r="J98" s="250"/>
      <c r="K98" s="250"/>
      <c r="L98" s="250"/>
      <c r="M98" s="250"/>
      <c r="N98" s="250"/>
      <c r="O98" s="250"/>
      <c r="P98" s="250"/>
      <c r="Q98" s="250"/>
      <c r="R98" s="250"/>
      <c r="S98" s="250"/>
      <c r="T98" s="250"/>
      <c r="U98" s="250"/>
      <c r="V98" s="250"/>
      <c r="W98" s="250"/>
    </row>
    <row r="99" spans="1:23">
      <c r="A99" s="250"/>
      <c r="B99" s="300"/>
      <c r="C99" s="250"/>
      <c r="D99" s="270"/>
      <c r="E99" s="250"/>
      <c r="F99" s="250"/>
      <c r="G99" s="250"/>
      <c r="H99" s="250"/>
      <c r="I99" s="250"/>
      <c r="J99" s="250"/>
      <c r="K99" s="250"/>
      <c r="L99" s="250"/>
      <c r="M99" s="250"/>
      <c r="N99" s="250"/>
      <c r="O99" s="250"/>
      <c r="P99" s="250"/>
      <c r="Q99" s="250"/>
      <c r="R99" s="250"/>
      <c r="S99" s="250"/>
      <c r="T99" s="250"/>
      <c r="U99" s="250"/>
      <c r="V99" s="250"/>
      <c r="W99" s="250"/>
    </row>
    <row r="100" spans="1:23">
      <c r="A100" s="250"/>
      <c r="B100" s="300"/>
      <c r="C100" s="250"/>
      <c r="D100" s="270"/>
      <c r="E100" s="250"/>
      <c r="F100" s="250"/>
      <c r="G100" s="250"/>
      <c r="H100" s="250"/>
      <c r="I100" s="250"/>
      <c r="J100" s="250"/>
      <c r="K100" s="250"/>
      <c r="L100" s="250"/>
      <c r="M100" s="250"/>
      <c r="N100" s="250"/>
      <c r="O100" s="250"/>
      <c r="P100" s="250"/>
      <c r="Q100" s="250"/>
      <c r="R100" s="250"/>
      <c r="S100" s="250"/>
      <c r="T100" s="250"/>
      <c r="U100" s="250"/>
      <c r="V100" s="250"/>
      <c r="W100" s="250"/>
    </row>
    <row r="101" spans="1:23">
      <c r="A101" s="250"/>
      <c r="B101" s="300"/>
      <c r="C101" s="250"/>
      <c r="D101" s="270"/>
      <c r="E101" s="250"/>
      <c r="F101" s="250"/>
      <c r="G101" s="250"/>
      <c r="H101" s="250"/>
      <c r="I101" s="250"/>
      <c r="J101" s="250"/>
      <c r="K101" s="250"/>
      <c r="L101" s="250"/>
      <c r="M101" s="250"/>
      <c r="N101" s="250"/>
      <c r="O101" s="250"/>
      <c r="P101" s="250"/>
      <c r="Q101" s="250"/>
      <c r="R101" s="250"/>
      <c r="S101" s="250"/>
      <c r="T101" s="250"/>
      <c r="U101" s="250"/>
      <c r="V101" s="250"/>
      <c r="W101" s="250"/>
    </row>
    <row r="102" spans="1:23">
      <c r="A102" s="250"/>
      <c r="B102" s="300"/>
      <c r="C102" s="250"/>
      <c r="D102" s="270"/>
      <c r="E102" s="250"/>
      <c r="F102" s="250"/>
      <c r="G102" s="250"/>
      <c r="H102" s="250"/>
      <c r="I102" s="250"/>
      <c r="J102" s="250"/>
      <c r="K102" s="250"/>
      <c r="L102" s="250"/>
      <c r="M102" s="250"/>
      <c r="N102" s="250"/>
      <c r="O102" s="250"/>
      <c r="P102" s="250"/>
      <c r="Q102" s="250"/>
      <c r="R102" s="250"/>
      <c r="S102" s="250"/>
      <c r="T102" s="250"/>
      <c r="U102" s="250"/>
      <c r="V102" s="250"/>
      <c r="W102" s="250"/>
    </row>
    <row r="103" spans="1:23">
      <c r="A103" s="250"/>
      <c r="B103" s="300"/>
      <c r="C103" s="250"/>
      <c r="D103" s="270"/>
      <c r="E103" s="250"/>
      <c r="F103" s="250"/>
      <c r="G103" s="250"/>
      <c r="H103" s="250"/>
      <c r="I103" s="250"/>
      <c r="J103" s="250"/>
      <c r="K103" s="250"/>
      <c r="L103" s="250"/>
      <c r="M103" s="250"/>
      <c r="N103" s="250"/>
      <c r="O103" s="250"/>
      <c r="P103" s="250"/>
      <c r="Q103" s="250"/>
      <c r="R103" s="250"/>
      <c r="S103" s="250"/>
      <c r="T103" s="250"/>
      <c r="U103" s="250"/>
      <c r="V103" s="250"/>
      <c r="W103" s="250"/>
    </row>
    <row r="104" spans="1:23">
      <c r="A104" s="250"/>
      <c r="B104" s="300"/>
      <c r="C104" s="250"/>
      <c r="D104" s="270"/>
      <c r="E104" s="250"/>
      <c r="F104" s="250"/>
      <c r="G104" s="250"/>
      <c r="H104" s="250"/>
      <c r="I104" s="250"/>
      <c r="J104" s="250"/>
      <c r="K104" s="250"/>
      <c r="L104" s="250"/>
      <c r="M104" s="250"/>
      <c r="N104" s="250"/>
      <c r="O104" s="250"/>
      <c r="P104" s="250"/>
      <c r="Q104" s="250"/>
      <c r="R104" s="250"/>
      <c r="S104" s="250"/>
      <c r="T104" s="250"/>
      <c r="U104" s="250"/>
      <c r="V104" s="250"/>
      <c r="W104" s="250"/>
    </row>
    <row r="105" spans="1:23">
      <c r="A105" s="250"/>
      <c r="B105" s="300"/>
      <c r="C105" s="250"/>
      <c r="D105" s="270"/>
      <c r="E105" s="250"/>
      <c r="F105" s="250"/>
      <c r="G105" s="250"/>
      <c r="H105" s="250"/>
      <c r="I105" s="250"/>
      <c r="J105" s="250"/>
      <c r="K105" s="250"/>
      <c r="L105" s="250"/>
      <c r="M105" s="250"/>
      <c r="N105" s="250"/>
      <c r="O105" s="250"/>
      <c r="P105" s="250"/>
      <c r="Q105" s="250"/>
      <c r="R105" s="250"/>
      <c r="S105" s="250"/>
      <c r="T105" s="250"/>
      <c r="U105" s="250"/>
      <c r="V105" s="250"/>
      <c r="W105" s="250"/>
    </row>
    <row r="106" spans="1:23">
      <c r="A106" s="250"/>
      <c r="B106" s="300"/>
      <c r="C106" s="250"/>
      <c r="D106" s="270"/>
      <c r="E106" s="250"/>
      <c r="F106" s="250"/>
      <c r="G106" s="250"/>
      <c r="H106" s="250"/>
      <c r="I106" s="250"/>
      <c r="J106" s="250"/>
      <c r="K106" s="250"/>
      <c r="L106" s="250"/>
      <c r="M106" s="250"/>
      <c r="N106" s="250"/>
      <c r="O106" s="250"/>
      <c r="P106" s="250"/>
      <c r="Q106" s="250"/>
      <c r="R106" s="250"/>
      <c r="S106" s="250"/>
      <c r="T106" s="250"/>
      <c r="U106" s="250"/>
      <c r="V106" s="250"/>
      <c r="W106" s="250"/>
    </row>
    <row r="107" spans="1:23">
      <c r="A107" s="250"/>
      <c r="B107" s="300"/>
      <c r="C107" s="250"/>
      <c r="D107" s="270"/>
      <c r="E107" s="250"/>
      <c r="F107" s="250"/>
      <c r="G107" s="250"/>
      <c r="H107" s="250"/>
      <c r="I107" s="250"/>
      <c r="J107" s="250"/>
      <c r="K107" s="250"/>
      <c r="L107" s="250"/>
      <c r="M107" s="250"/>
      <c r="N107" s="250"/>
      <c r="O107" s="250"/>
      <c r="P107" s="250"/>
      <c r="Q107" s="250"/>
      <c r="R107" s="250"/>
      <c r="S107" s="250"/>
      <c r="T107" s="250"/>
      <c r="U107" s="250"/>
      <c r="V107" s="250"/>
      <c r="W107" s="250"/>
    </row>
    <row r="108" spans="1:23">
      <c r="A108" s="250"/>
      <c r="B108" s="300"/>
      <c r="C108" s="250"/>
      <c r="D108" s="270"/>
      <c r="E108" s="250"/>
      <c r="F108" s="250"/>
      <c r="G108" s="250"/>
      <c r="H108" s="250"/>
      <c r="I108" s="250"/>
      <c r="J108" s="250"/>
      <c r="K108" s="250"/>
      <c r="L108" s="250"/>
      <c r="M108" s="250"/>
      <c r="N108" s="250"/>
      <c r="O108" s="250"/>
      <c r="P108" s="250"/>
      <c r="Q108" s="250"/>
      <c r="R108" s="250"/>
      <c r="S108" s="250"/>
      <c r="T108" s="250"/>
      <c r="U108" s="250"/>
      <c r="V108" s="250"/>
      <c r="W108" s="250"/>
    </row>
    <row r="109" spans="1:23">
      <c r="A109" s="250"/>
      <c r="B109" s="300"/>
      <c r="C109" s="250"/>
      <c r="D109" s="270"/>
      <c r="E109" s="250"/>
      <c r="F109" s="250"/>
      <c r="G109" s="250"/>
      <c r="H109" s="250"/>
      <c r="I109" s="250"/>
      <c r="J109" s="250"/>
      <c r="K109" s="250"/>
      <c r="L109" s="250"/>
      <c r="M109" s="250"/>
      <c r="N109" s="250"/>
      <c r="O109" s="250"/>
      <c r="P109" s="250"/>
      <c r="Q109" s="250"/>
      <c r="R109" s="250"/>
      <c r="S109" s="250"/>
      <c r="T109" s="250"/>
      <c r="U109" s="250"/>
      <c r="V109" s="250"/>
      <c r="W109" s="250"/>
    </row>
    <row r="110" spans="1:23">
      <c r="A110" s="250"/>
      <c r="B110" s="300"/>
      <c r="C110" s="250"/>
      <c r="D110" s="270"/>
      <c r="E110" s="250"/>
      <c r="F110" s="250"/>
      <c r="G110" s="250"/>
      <c r="H110" s="250"/>
      <c r="I110" s="250"/>
      <c r="J110" s="250"/>
      <c r="K110" s="250"/>
      <c r="L110" s="250"/>
      <c r="M110" s="250"/>
      <c r="N110" s="250"/>
      <c r="O110" s="250"/>
      <c r="P110" s="250"/>
      <c r="Q110" s="250"/>
      <c r="R110" s="250"/>
      <c r="S110" s="250"/>
      <c r="T110" s="250"/>
      <c r="U110" s="250"/>
      <c r="V110" s="250"/>
      <c r="W110" s="250"/>
    </row>
    <row r="111" spans="1:23">
      <c r="A111" s="250"/>
      <c r="B111" s="300"/>
      <c r="C111" s="250"/>
      <c r="D111" s="270"/>
      <c r="E111" s="250"/>
      <c r="F111" s="250"/>
      <c r="G111" s="250"/>
      <c r="H111" s="250"/>
      <c r="I111" s="250"/>
      <c r="J111" s="250"/>
      <c r="K111" s="250"/>
      <c r="L111" s="250"/>
      <c r="M111" s="250"/>
      <c r="N111" s="250"/>
      <c r="O111" s="250"/>
      <c r="P111" s="250"/>
      <c r="Q111" s="250"/>
      <c r="R111" s="250"/>
      <c r="S111" s="250"/>
      <c r="T111" s="250"/>
      <c r="U111" s="250"/>
      <c r="V111" s="250"/>
      <c r="W111" s="250"/>
    </row>
    <row r="112" spans="1:23">
      <c r="A112" s="250"/>
      <c r="B112" s="300"/>
      <c r="C112" s="250"/>
      <c r="D112" s="270"/>
      <c r="E112" s="250"/>
      <c r="F112" s="250"/>
      <c r="G112" s="250"/>
      <c r="H112" s="250"/>
      <c r="I112" s="250"/>
      <c r="J112" s="250"/>
      <c r="K112" s="250"/>
      <c r="L112" s="250"/>
      <c r="M112" s="250"/>
      <c r="N112" s="250"/>
      <c r="O112" s="250"/>
      <c r="P112" s="250"/>
      <c r="Q112" s="250"/>
      <c r="R112" s="250"/>
      <c r="S112" s="250"/>
      <c r="T112" s="250"/>
      <c r="U112" s="250"/>
      <c r="V112" s="250"/>
      <c r="W112" s="250"/>
    </row>
    <row r="113" spans="1:23">
      <c r="A113" s="250"/>
      <c r="B113" s="300"/>
      <c r="C113" s="250"/>
      <c r="D113" s="270"/>
      <c r="E113" s="250"/>
      <c r="F113" s="250"/>
      <c r="G113" s="250"/>
      <c r="H113" s="250"/>
      <c r="I113" s="250"/>
      <c r="J113" s="250"/>
      <c r="K113" s="250"/>
      <c r="L113" s="250"/>
      <c r="M113" s="250"/>
      <c r="N113" s="250"/>
      <c r="O113" s="250"/>
      <c r="P113" s="250"/>
      <c r="Q113" s="250"/>
      <c r="R113" s="250"/>
      <c r="S113" s="250"/>
      <c r="T113" s="250"/>
      <c r="U113" s="250"/>
      <c r="V113" s="250"/>
      <c r="W113" s="250"/>
    </row>
    <row r="114" spans="1:23">
      <c r="A114" s="250"/>
      <c r="B114" s="300"/>
      <c r="C114" s="250"/>
      <c r="D114" s="270"/>
      <c r="E114" s="250"/>
      <c r="F114" s="250"/>
      <c r="G114" s="250"/>
      <c r="H114" s="250"/>
      <c r="I114" s="250"/>
      <c r="J114" s="250"/>
      <c r="K114" s="250"/>
      <c r="L114" s="250"/>
      <c r="M114" s="250"/>
      <c r="N114" s="250"/>
      <c r="O114" s="250"/>
      <c r="P114" s="250"/>
      <c r="Q114" s="250"/>
      <c r="R114" s="250"/>
      <c r="S114" s="250"/>
      <c r="T114" s="250"/>
      <c r="U114" s="250"/>
      <c r="V114" s="250"/>
      <c r="W114" s="250"/>
    </row>
    <row r="115" spans="1:23">
      <c r="A115" s="250"/>
      <c r="B115" s="300"/>
      <c r="C115" s="250"/>
      <c r="D115" s="270"/>
      <c r="E115" s="250"/>
      <c r="F115" s="250"/>
      <c r="G115" s="250"/>
      <c r="H115" s="250"/>
      <c r="I115" s="250"/>
      <c r="J115" s="250"/>
      <c r="K115" s="250"/>
      <c r="L115" s="250"/>
      <c r="M115" s="250"/>
      <c r="N115" s="250"/>
      <c r="O115" s="250"/>
      <c r="P115" s="250"/>
      <c r="Q115" s="250"/>
      <c r="R115" s="250"/>
      <c r="S115" s="250"/>
      <c r="T115" s="250"/>
      <c r="U115" s="250"/>
      <c r="V115" s="250"/>
      <c r="W115" s="250"/>
    </row>
    <row r="116" spans="1:23">
      <c r="A116" s="250"/>
      <c r="B116" s="300"/>
      <c r="C116" s="250"/>
      <c r="D116" s="270"/>
      <c r="E116" s="250"/>
      <c r="F116" s="250"/>
      <c r="G116" s="250"/>
      <c r="H116" s="250"/>
      <c r="I116" s="250"/>
      <c r="J116" s="250"/>
      <c r="K116" s="250"/>
      <c r="L116" s="250"/>
      <c r="M116" s="250"/>
      <c r="N116" s="250"/>
      <c r="O116" s="250"/>
      <c r="P116" s="250"/>
      <c r="Q116" s="250"/>
      <c r="R116" s="250"/>
      <c r="S116" s="250"/>
      <c r="T116" s="250"/>
      <c r="U116" s="250"/>
      <c r="V116" s="250"/>
      <c r="W116" s="250"/>
    </row>
    <row r="117" spans="1:23">
      <c r="A117" s="250"/>
      <c r="B117" s="300"/>
      <c r="C117" s="250"/>
      <c r="D117" s="270"/>
      <c r="E117" s="250"/>
      <c r="F117" s="250"/>
      <c r="G117" s="250"/>
      <c r="H117" s="250"/>
      <c r="I117" s="250"/>
      <c r="J117" s="250"/>
      <c r="K117" s="250"/>
      <c r="L117" s="250"/>
      <c r="M117" s="250"/>
      <c r="N117" s="250"/>
      <c r="O117" s="250"/>
      <c r="P117" s="250"/>
      <c r="Q117" s="250"/>
      <c r="R117" s="250"/>
      <c r="S117" s="250"/>
      <c r="T117" s="250"/>
      <c r="U117" s="250"/>
      <c r="V117" s="250"/>
      <c r="W117" s="250"/>
    </row>
    <row r="118" spans="1:23">
      <c r="A118" s="250"/>
      <c r="B118" s="300"/>
      <c r="C118" s="250"/>
      <c r="D118" s="270"/>
      <c r="E118" s="250"/>
      <c r="F118" s="250"/>
      <c r="G118" s="250"/>
      <c r="H118" s="250"/>
      <c r="I118" s="250"/>
      <c r="J118" s="250"/>
      <c r="K118" s="250"/>
      <c r="L118" s="250"/>
      <c r="M118" s="250"/>
      <c r="N118" s="250"/>
      <c r="O118" s="250"/>
      <c r="P118" s="250"/>
      <c r="Q118" s="250"/>
      <c r="R118" s="250"/>
      <c r="S118" s="250"/>
      <c r="T118" s="250"/>
      <c r="U118" s="250"/>
      <c r="V118" s="250"/>
      <c r="W118" s="250"/>
    </row>
    <row r="119" spans="1:23">
      <c r="A119" s="250"/>
      <c r="B119" s="300"/>
      <c r="C119" s="250"/>
      <c r="D119" s="270"/>
      <c r="E119" s="250"/>
      <c r="F119" s="250"/>
      <c r="G119" s="250"/>
      <c r="H119" s="250"/>
      <c r="I119" s="250"/>
      <c r="J119" s="250"/>
      <c r="K119" s="250"/>
      <c r="L119" s="250"/>
      <c r="M119" s="250"/>
      <c r="N119" s="250"/>
      <c r="O119" s="250"/>
      <c r="P119" s="250"/>
      <c r="Q119" s="250"/>
      <c r="R119" s="250"/>
      <c r="S119" s="250"/>
      <c r="T119" s="250"/>
      <c r="U119" s="250"/>
      <c r="V119" s="250"/>
      <c r="W119" s="250"/>
    </row>
    <row r="120" spans="1:23">
      <c r="A120" s="250"/>
      <c r="B120" s="300"/>
      <c r="C120" s="250"/>
      <c r="D120" s="270"/>
      <c r="E120" s="250"/>
      <c r="F120" s="250"/>
      <c r="G120" s="250"/>
      <c r="H120" s="250"/>
      <c r="I120" s="250"/>
      <c r="J120" s="250"/>
      <c r="K120" s="250"/>
      <c r="L120" s="250"/>
      <c r="M120" s="250"/>
      <c r="N120" s="250"/>
      <c r="O120" s="250"/>
      <c r="P120" s="250"/>
      <c r="Q120" s="250"/>
      <c r="R120" s="250"/>
      <c r="S120" s="250"/>
      <c r="T120" s="250"/>
      <c r="U120" s="250"/>
      <c r="V120" s="250"/>
      <c r="W120" s="250"/>
    </row>
    <row r="121" spans="1:23">
      <c r="A121" s="250"/>
      <c r="B121" s="300"/>
      <c r="C121" s="250"/>
      <c r="D121" s="270"/>
      <c r="E121" s="250"/>
      <c r="F121" s="250"/>
      <c r="G121" s="250"/>
      <c r="H121" s="250"/>
      <c r="I121" s="250"/>
      <c r="J121" s="250"/>
      <c r="K121" s="250"/>
      <c r="L121" s="250"/>
      <c r="M121" s="250"/>
      <c r="N121" s="250"/>
      <c r="O121" s="250"/>
      <c r="P121" s="250"/>
      <c r="Q121" s="250"/>
      <c r="R121" s="250"/>
      <c r="S121" s="250"/>
      <c r="T121" s="250"/>
      <c r="U121" s="250"/>
      <c r="V121" s="250"/>
      <c r="W121" s="250"/>
    </row>
    <row r="122" spans="1:23">
      <c r="A122" s="250"/>
      <c r="B122" s="300"/>
      <c r="C122" s="250"/>
      <c r="D122" s="270"/>
      <c r="E122" s="250"/>
      <c r="F122" s="250"/>
      <c r="G122" s="250"/>
      <c r="H122" s="250"/>
      <c r="I122" s="250"/>
      <c r="J122" s="250"/>
      <c r="K122" s="250"/>
      <c r="L122" s="250"/>
      <c r="M122" s="250"/>
      <c r="N122" s="250"/>
      <c r="O122" s="250"/>
      <c r="P122" s="250"/>
      <c r="Q122" s="250"/>
      <c r="R122" s="250"/>
      <c r="S122" s="250"/>
      <c r="T122" s="250"/>
      <c r="U122" s="250"/>
      <c r="V122" s="250"/>
      <c r="W122" s="250"/>
    </row>
    <row r="123" spans="1:23">
      <c r="A123" s="250"/>
      <c r="B123" s="300"/>
      <c r="C123" s="250"/>
      <c r="D123" s="270"/>
      <c r="E123" s="250"/>
      <c r="F123" s="250"/>
      <c r="G123" s="250"/>
      <c r="H123" s="250"/>
      <c r="I123" s="250"/>
      <c r="J123" s="250"/>
      <c r="K123" s="250"/>
      <c r="L123" s="250"/>
      <c r="M123" s="250"/>
      <c r="N123" s="250"/>
      <c r="O123" s="250"/>
      <c r="P123" s="250"/>
      <c r="Q123" s="250"/>
      <c r="R123" s="250"/>
      <c r="S123" s="250"/>
      <c r="T123" s="250"/>
      <c r="U123" s="250"/>
      <c r="V123" s="250"/>
      <c r="W123" s="250"/>
    </row>
    <row r="124" spans="1:23">
      <c r="A124" s="250"/>
      <c r="B124" s="300"/>
      <c r="C124" s="250"/>
      <c r="D124" s="270"/>
      <c r="E124" s="250"/>
      <c r="F124" s="250"/>
      <c r="G124" s="250"/>
      <c r="H124" s="250"/>
      <c r="I124" s="250"/>
      <c r="J124" s="250"/>
      <c r="K124" s="250"/>
      <c r="L124" s="250"/>
      <c r="M124" s="250"/>
      <c r="N124" s="250"/>
      <c r="O124" s="250"/>
      <c r="P124" s="250"/>
      <c r="Q124" s="250"/>
      <c r="R124" s="250"/>
      <c r="S124" s="250"/>
      <c r="T124" s="250"/>
      <c r="U124" s="250"/>
      <c r="V124" s="250"/>
      <c r="W124" s="250"/>
    </row>
    <row r="125" spans="1:23">
      <c r="A125" s="250"/>
      <c r="B125" s="300"/>
      <c r="C125" s="250"/>
      <c r="D125" s="270"/>
      <c r="E125" s="250"/>
      <c r="F125" s="250"/>
      <c r="G125" s="250"/>
      <c r="H125" s="250"/>
      <c r="I125" s="250"/>
      <c r="J125" s="250"/>
      <c r="K125" s="250"/>
      <c r="L125" s="250"/>
      <c r="M125" s="250"/>
      <c r="N125" s="250"/>
      <c r="O125" s="250"/>
      <c r="P125" s="250"/>
      <c r="Q125" s="250"/>
      <c r="R125" s="250"/>
      <c r="S125" s="250"/>
      <c r="T125" s="250"/>
      <c r="U125" s="250"/>
      <c r="V125" s="250"/>
      <c r="W125" s="250"/>
    </row>
    <row r="126" spans="1:23">
      <c r="A126" s="250"/>
      <c r="B126" s="300"/>
      <c r="C126" s="250"/>
      <c r="D126" s="270"/>
      <c r="E126" s="250"/>
      <c r="F126" s="250"/>
      <c r="G126" s="250"/>
      <c r="H126" s="250"/>
      <c r="I126" s="250"/>
      <c r="J126" s="250"/>
      <c r="K126" s="250"/>
      <c r="L126" s="250"/>
      <c r="M126" s="250"/>
      <c r="N126" s="250"/>
      <c r="O126" s="250"/>
      <c r="P126" s="250"/>
      <c r="Q126" s="250"/>
      <c r="R126" s="250"/>
      <c r="S126" s="250"/>
      <c r="T126" s="250"/>
      <c r="U126" s="250"/>
      <c r="V126" s="250"/>
      <c r="W126" s="250"/>
    </row>
    <row r="127" spans="1:23">
      <c r="A127" s="250"/>
      <c r="B127" s="300"/>
      <c r="C127" s="250"/>
      <c r="D127" s="270"/>
      <c r="E127" s="250"/>
      <c r="F127" s="250"/>
      <c r="G127" s="250"/>
      <c r="H127" s="250"/>
      <c r="I127" s="250"/>
      <c r="J127" s="250"/>
      <c r="K127" s="250"/>
      <c r="L127" s="250"/>
      <c r="M127" s="250"/>
      <c r="N127" s="250"/>
      <c r="O127" s="250"/>
      <c r="P127" s="250"/>
      <c r="Q127" s="250"/>
      <c r="R127" s="250"/>
      <c r="S127" s="250"/>
      <c r="T127" s="250"/>
      <c r="U127" s="250"/>
      <c r="V127" s="250"/>
      <c r="W127" s="250"/>
    </row>
    <row r="128" spans="1:23">
      <c r="A128" s="250"/>
      <c r="B128" s="300"/>
      <c r="C128" s="250"/>
      <c r="D128" s="270"/>
      <c r="E128" s="250"/>
      <c r="F128" s="250"/>
      <c r="G128" s="250"/>
      <c r="H128" s="250"/>
      <c r="I128" s="250"/>
      <c r="J128" s="250"/>
      <c r="K128" s="250"/>
      <c r="L128" s="250"/>
      <c r="M128" s="250"/>
      <c r="N128" s="250"/>
      <c r="O128" s="250"/>
      <c r="P128" s="250"/>
      <c r="Q128" s="250"/>
      <c r="R128" s="250"/>
      <c r="S128" s="250"/>
      <c r="T128" s="250"/>
      <c r="U128" s="250"/>
      <c r="V128" s="250"/>
      <c r="W128" s="250"/>
    </row>
    <row r="129" spans="1:23">
      <c r="A129" s="250"/>
      <c r="B129" s="300"/>
      <c r="C129" s="250"/>
      <c r="D129" s="270"/>
      <c r="E129" s="250"/>
      <c r="F129" s="250"/>
      <c r="G129" s="250"/>
      <c r="H129" s="250"/>
      <c r="I129" s="250"/>
      <c r="J129" s="250"/>
      <c r="K129" s="250"/>
      <c r="L129" s="250"/>
      <c r="M129" s="250"/>
      <c r="N129" s="250"/>
      <c r="O129" s="250"/>
      <c r="P129" s="250"/>
      <c r="Q129" s="250"/>
      <c r="R129" s="250"/>
      <c r="S129" s="250"/>
      <c r="T129" s="250"/>
      <c r="U129" s="250"/>
      <c r="V129" s="250"/>
      <c r="W129" s="250"/>
    </row>
    <row r="130" spans="1:23">
      <c r="A130" s="250"/>
      <c r="B130" s="300"/>
      <c r="C130" s="250"/>
      <c r="D130" s="270"/>
      <c r="E130" s="250"/>
      <c r="F130" s="250"/>
      <c r="G130" s="250"/>
      <c r="H130" s="250"/>
      <c r="I130" s="250"/>
      <c r="J130" s="250"/>
      <c r="K130" s="250"/>
      <c r="L130" s="250"/>
      <c r="M130" s="250"/>
      <c r="N130" s="250"/>
      <c r="O130" s="250"/>
      <c r="P130" s="250"/>
      <c r="Q130" s="250"/>
      <c r="R130" s="250"/>
      <c r="S130" s="250"/>
      <c r="T130" s="250"/>
      <c r="U130" s="250"/>
      <c r="V130" s="250"/>
      <c r="W130" s="250"/>
    </row>
    <row r="131" spans="1:23">
      <c r="A131" s="250"/>
      <c r="B131" s="300"/>
      <c r="C131" s="250"/>
      <c r="D131" s="270"/>
      <c r="E131" s="250"/>
      <c r="F131" s="250"/>
      <c r="G131" s="250"/>
      <c r="H131" s="250"/>
      <c r="I131" s="250"/>
      <c r="J131" s="250"/>
      <c r="K131" s="250"/>
      <c r="L131" s="250"/>
      <c r="M131" s="250"/>
      <c r="N131" s="250"/>
      <c r="O131" s="250"/>
      <c r="P131" s="250"/>
      <c r="Q131" s="250"/>
      <c r="R131" s="250"/>
      <c r="S131" s="250"/>
      <c r="T131" s="250"/>
      <c r="U131" s="250"/>
      <c r="V131" s="250"/>
      <c r="W131" s="250"/>
    </row>
    <row r="132" spans="1:23">
      <c r="A132" s="250"/>
      <c r="B132" s="300"/>
      <c r="C132" s="250"/>
      <c r="D132" s="27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</row>
    <row r="133" spans="1:23">
      <c r="A133" s="250"/>
      <c r="B133" s="300"/>
      <c r="C133" s="250"/>
      <c r="D133" s="270"/>
      <c r="E133" s="250"/>
      <c r="F133" s="250"/>
      <c r="G133" s="250"/>
      <c r="H133" s="250"/>
      <c r="I133" s="250"/>
      <c r="J133" s="250"/>
      <c r="K133" s="250"/>
      <c r="L133" s="250"/>
      <c r="M133" s="250"/>
      <c r="N133" s="250"/>
      <c r="O133" s="250"/>
      <c r="P133" s="250"/>
      <c r="Q133" s="250"/>
      <c r="R133" s="250"/>
      <c r="S133" s="250"/>
      <c r="T133" s="250"/>
      <c r="U133" s="250"/>
      <c r="V133" s="250"/>
      <c r="W133" s="250"/>
    </row>
    <row r="134" spans="1:23">
      <c r="A134" s="250"/>
      <c r="B134" s="300"/>
      <c r="C134" s="250"/>
      <c r="D134" s="270"/>
      <c r="E134" s="250"/>
      <c r="F134" s="250"/>
      <c r="G134" s="250"/>
      <c r="H134" s="250"/>
      <c r="I134" s="250"/>
      <c r="J134" s="250"/>
      <c r="K134" s="250"/>
      <c r="L134" s="250"/>
      <c r="M134" s="250"/>
      <c r="N134" s="250"/>
      <c r="O134" s="250"/>
      <c r="P134" s="250"/>
      <c r="Q134" s="250"/>
      <c r="R134" s="250"/>
      <c r="S134" s="250"/>
      <c r="T134" s="250"/>
      <c r="U134" s="250"/>
      <c r="V134" s="250"/>
      <c r="W134" s="250"/>
    </row>
    <row r="135" spans="1:23">
      <c r="A135" s="250"/>
      <c r="B135" s="300"/>
      <c r="C135" s="250"/>
      <c r="D135" s="270"/>
      <c r="E135" s="250"/>
      <c r="F135" s="250"/>
      <c r="G135" s="250"/>
      <c r="H135" s="250"/>
      <c r="I135" s="250"/>
      <c r="J135" s="250"/>
      <c r="K135" s="250"/>
      <c r="L135" s="250"/>
      <c r="M135" s="250"/>
      <c r="N135" s="250"/>
      <c r="O135" s="250"/>
      <c r="P135" s="250"/>
      <c r="Q135" s="250"/>
      <c r="R135" s="250"/>
      <c r="S135" s="250"/>
      <c r="T135" s="250"/>
      <c r="U135" s="250"/>
      <c r="V135" s="250"/>
      <c r="W135" s="250"/>
    </row>
    <row r="136" spans="1:23">
      <c r="A136" s="250"/>
      <c r="B136" s="300"/>
      <c r="C136" s="250"/>
      <c r="D136" s="270"/>
      <c r="E136" s="250"/>
      <c r="F136" s="250"/>
      <c r="G136" s="250"/>
      <c r="H136" s="250"/>
      <c r="I136" s="250"/>
      <c r="J136" s="250"/>
      <c r="K136" s="250"/>
      <c r="L136" s="250"/>
      <c r="M136" s="250"/>
      <c r="N136" s="250"/>
      <c r="O136" s="250"/>
      <c r="P136" s="250"/>
      <c r="Q136" s="250"/>
      <c r="R136" s="250"/>
      <c r="S136" s="250"/>
      <c r="T136" s="250"/>
      <c r="U136" s="250"/>
      <c r="V136" s="250"/>
      <c r="W136" s="250"/>
    </row>
    <row r="137" spans="1:23">
      <c r="A137" s="250"/>
      <c r="B137" s="300"/>
      <c r="C137" s="250"/>
      <c r="D137" s="270"/>
      <c r="E137" s="250"/>
      <c r="F137" s="250"/>
      <c r="G137" s="250"/>
      <c r="H137" s="250"/>
      <c r="I137" s="250"/>
      <c r="J137" s="250"/>
      <c r="K137" s="250"/>
      <c r="L137" s="250"/>
      <c r="M137" s="250"/>
      <c r="N137" s="250"/>
      <c r="O137" s="250"/>
      <c r="P137" s="250"/>
      <c r="Q137" s="250"/>
      <c r="R137" s="250"/>
      <c r="S137" s="250"/>
      <c r="T137" s="250"/>
      <c r="U137" s="250"/>
      <c r="V137" s="250"/>
      <c r="W137" s="250"/>
    </row>
    <row r="138" spans="1:23">
      <c r="A138" s="250"/>
      <c r="B138" s="300"/>
      <c r="C138" s="250"/>
      <c r="D138" s="270"/>
      <c r="E138" s="250"/>
      <c r="F138" s="250"/>
      <c r="G138" s="250"/>
      <c r="H138" s="250"/>
      <c r="I138" s="250"/>
      <c r="J138" s="250"/>
      <c r="K138" s="250"/>
      <c r="L138" s="250"/>
      <c r="M138" s="250"/>
      <c r="N138" s="250"/>
      <c r="O138" s="250"/>
      <c r="P138" s="250"/>
      <c r="Q138" s="250"/>
      <c r="R138" s="250"/>
      <c r="S138" s="250"/>
      <c r="T138" s="250"/>
      <c r="U138" s="250"/>
      <c r="V138" s="250"/>
      <c r="W138" s="250"/>
    </row>
    <row r="139" spans="1:23">
      <c r="A139" s="250"/>
      <c r="B139" s="300"/>
      <c r="C139" s="250"/>
      <c r="D139" s="270"/>
      <c r="E139" s="250"/>
      <c r="F139" s="250"/>
      <c r="G139" s="250"/>
      <c r="H139" s="250"/>
      <c r="I139" s="250"/>
      <c r="J139" s="250"/>
      <c r="K139" s="250"/>
      <c r="L139" s="250"/>
      <c r="M139" s="250"/>
      <c r="N139" s="250"/>
      <c r="O139" s="250"/>
      <c r="P139" s="250"/>
      <c r="Q139" s="250"/>
      <c r="R139" s="250"/>
      <c r="S139" s="250"/>
      <c r="T139" s="250"/>
      <c r="U139" s="250"/>
      <c r="V139" s="250"/>
      <c r="W139" s="250"/>
    </row>
    <row r="140" spans="1:23">
      <c r="A140" s="250"/>
      <c r="B140" s="300"/>
      <c r="C140" s="250"/>
      <c r="D140" s="270"/>
      <c r="E140" s="250"/>
      <c r="F140" s="250"/>
      <c r="G140" s="250"/>
      <c r="H140" s="250"/>
      <c r="I140" s="250"/>
      <c r="J140" s="250"/>
      <c r="K140" s="250"/>
      <c r="L140" s="250"/>
      <c r="M140" s="250"/>
      <c r="N140" s="250"/>
      <c r="O140" s="250"/>
      <c r="P140" s="250"/>
      <c r="Q140" s="250"/>
      <c r="R140" s="250"/>
      <c r="S140" s="250"/>
      <c r="T140" s="250"/>
      <c r="U140" s="250"/>
      <c r="V140" s="250"/>
      <c r="W140" s="250"/>
    </row>
    <row r="141" spans="1:23">
      <c r="A141" s="250"/>
      <c r="B141" s="300"/>
      <c r="C141" s="250"/>
      <c r="D141" s="270"/>
      <c r="E141" s="250"/>
      <c r="F141" s="250"/>
      <c r="G141" s="250"/>
      <c r="H141" s="250"/>
      <c r="I141" s="250"/>
      <c r="J141" s="250"/>
      <c r="K141" s="250"/>
      <c r="L141" s="250"/>
      <c r="M141" s="250"/>
      <c r="N141" s="250"/>
      <c r="O141" s="250"/>
      <c r="P141" s="250"/>
      <c r="Q141" s="250"/>
      <c r="R141" s="250"/>
      <c r="S141" s="250"/>
      <c r="T141" s="250"/>
      <c r="U141" s="250"/>
      <c r="V141" s="250"/>
      <c r="W141" s="250"/>
    </row>
    <row r="142" spans="1:23">
      <c r="A142" s="250"/>
      <c r="B142" s="300"/>
      <c r="C142" s="250"/>
      <c r="D142" s="270"/>
      <c r="E142" s="250"/>
      <c r="F142" s="250"/>
      <c r="G142" s="250"/>
      <c r="H142" s="250"/>
      <c r="I142" s="250"/>
      <c r="J142" s="250"/>
      <c r="K142" s="250"/>
      <c r="L142" s="250"/>
      <c r="M142" s="250"/>
      <c r="N142" s="250"/>
      <c r="O142" s="250"/>
      <c r="P142" s="250"/>
      <c r="Q142" s="250"/>
      <c r="R142" s="250"/>
      <c r="S142" s="250"/>
      <c r="T142" s="250"/>
      <c r="U142" s="250"/>
      <c r="V142" s="250"/>
      <c r="W142" s="250"/>
    </row>
    <row r="143" spans="1:23">
      <c r="A143" s="250"/>
      <c r="B143" s="300"/>
      <c r="C143" s="250"/>
      <c r="D143" s="270"/>
      <c r="E143" s="250"/>
      <c r="F143" s="250"/>
      <c r="G143" s="250"/>
      <c r="H143" s="250"/>
      <c r="I143" s="250"/>
      <c r="J143" s="250"/>
      <c r="K143" s="250"/>
      <c r="L143" s="250"/>
      <c r="M143" s="250"/>
      <c r="N143" s="250"/>
      <c r="O143" s="250"/>
      <c r="P143" s="250"/>
      <c r="Q143" s="250"/>
      <c r="R143" s="250"/>
      <c r="S143" s="250"/>
      <c r="T143" s="250"/>
      <c r="U143" s="250"/>
      <c r="V143" s="250"/>
      <c r="W143" s="250"/>
    </row>
    <row r="144" spans="1:23">
      <c r="A144" s="250"/>
      <c r="B144" s="300"/>
      <c r="C144" s="250"/>
      <c r="D144" s="270"/>
      <c r="E144" s="250"/>
      <c r="F144" s="250"/>
      <c r="G144" s="250"/>
      <c r="H144" s="250"/>
      <c r="I144" s="250"/>
      <c r="J144" s="250"/>
      <c r="K144" s="250"/>
      <c r="L144" s="250"/>
      <c r="M144" s="250"/>
      <c r="N144" s="250"/>
      <c r="O144" s="250"/>
      <c r="P144" s="250"/>
      <c r="Q144" s="250"/>
      <c r="R144" s="250"/>
      <c r="S144" s="250"/>
      <c r="T144" s="250"/>
      <c r="U144" s="250"/>
      <c r="V144" s="250"/>
      <c r="W144" s="250"/>
    </row>
    <row r="145" spans="1:23">
      <c r="A145" s="250"/>
      <c r="B145" s="300"/>
      <c r="C145" s="250"/>
      <c r="D145" s="270"/>
      <c r="E145" s="250"/>
      <c r="F145" s="250"/>
      <c r="G145" s="250"/>
      <c r="H145" s="250"/>
      <c r="I145" s="250"/>
      <c r="J145" s="250"/>
      <c r="K145" s="250"/>
      <c r="L145" s="250"/>
      <c r="M145" s="250"/>
      <c r="N145" s="250"/>
      <c r="O145" s="250"/>
      <c r="P145" s="250"/>
      <c r="Q145" s="250"/>
      <c r="R145" s="250"/>
      <c r="S145" s="250"/>
      <c r="T145" s="250"/>
      <c r="U145" s="250"/>
      <c r="V145" s="250"/>
      <c r="W145" s="250"/>
    </row>
    <row r="146" spans="1:23">
      <c r="A146" s="250"/>
      <c r="B146" s="300"/>
      <c r="C146" s="250"/>
      <c r="D146" s="270"/>
      <c r="E146" s="250"/>
      <c r="F146" s="250"/>
      <c r="G146" s="250"/>
      <c r="H146" s="250"/>
      <c r="I146" s="250"/>
      <c r="J146" s="250"/>
      <c r="K146" s="250"/>
      <c r="L146" s="250"/>
      <c r="M146" s="250"/>
      <c r="N146" s="250"/>
      <c r="O146" s="250"/>
      <c r="P146" s="250"/>
      <c r="Q146" s="250"/>
      <c r="R146" s="250"/>
      <c r="S146" s="250"/>
      <c r="T146" s="250"/>
      <c r="U146" s="250"/>
      <c r="V146" s="250"/>
      <c r="W146" s="250"/>
    </row>
    <row r="147" spans="1:23">
      <c r="A147" s="250"/>
      <c r="B147" s="300"/>
      <c r="C147" s="250"/>
      <c r="D147" s="270"/>
      <c r="E147" s="250"/>
      <c r="F147" s="250"/>
      <c r="G147" s="250"/>
      <c r="H147" s="250"/>
      <c r="I147" s="250"/>
      <c r="J147" s="250"/>
      <c r="K147" s="250"/>
      <c r="L147" s="250"/>
      <c r="M147" s="250"/>
      <c r="N147" s="250"/>
      <c r="O147" s="250"/>
      <c r="P147" s="250"/>
      <c r="Q147" s="250"/>
      <c r="R147" s="250"/>
      <c r="S147" s="250"/>
      <c r="T147" s="250"/>
      <c r="U147" s="250"/>
      <c r="V147" s="250"/>
      <c r="W147" s="250"/>
    </row>
    <row r="148" spans="1:23">
      <c r="A148" s="250"/>
      <c r="B148" s="300"/>
      <c r="C148" s="250"/>
      <c r="D148" s="270"/>
      <c r="E148" s="250"/>
      <c r="F148" s="250"/>
      <c r="G148" s="250"/>
      <c r="H148" s="250"/>
      <c r="I148" s="250"/>
      <c r="J148" s="250"/>
      <c r="K148" s="250"/>
      <c r="L148" s="250"/>
      <c r="M148" s="250"/>
      <c r="N148" s="250"/>
      <c r="O148" s="250"/>
      <c r="P148" s="250"/>
      <c r="Q148" s="250"/>
      <c r="R148" s="250"/>
      <c r="S148" s="250"/>
      <c r="T148" s="250"/>
      <c r="U148" s="250"/>
      <c r="V148" s="250"/>
      <c r="W148" s="250"/>
    </row>
    <row r="149" spans="1:23">
      <c r="A149" s="250"/>
      <c r="B149" s="300"/>
      <c r="C149" s="250"/>
      <c r="D149" s="270"/>
      <c r="E149" s="250"/>
      <c r="F149" s="250"/>
      <c r="G149" s="250"/>
      <c r="H149" s="250"/>
      <c r="I149" s="250"/>
      <c r="J149" s="250"/>
      <c r="K149" s="250"/>
      <c r="L149" s="250"/>
      <c r="M149" s="250"/>
      <c r="N149" s="250"/>
      <c r="O149" s="250"/>
      <c r="P149" s="250"/>
      <c r="Q149" s="250"/>
      <c r="R149" s="250"/>
      <c r="S149" s="250"/>
      <c r="T149" s="250"/>
      <c r="U149" s="250"/>
      <c r="V149" s="250"/>
      <c r="W149" s="250"/>
    </row>
    <row r="150" spans="1:23">
      <c r="A150" s="250"/>
      <c r="B150" s="300"/>
      <c r="C150" s="250"/>
      <c r="D150" s="270"/>
      <c r="E150" s="250"/>
      <c r="F150" s="250"/>
      <c r="G150" s="250"/>
      <c r="H150" s="250"/>
      <c r="I150" s="250"/>
      <c r="J150" s="250"/>
      <c r="K150" s="250"/>
      <c r="L150" s="250"/>
      <c r="M150" s="250"/>
      <c r="N150" s="250"/>
      <c r="O150" s="250"/>
      <c r="P150" s="250"/>
      <c r="Q150" s="250"/>
      <c r="R150" s="250"/>
      <c r="S150" s="250"/>
      <c r="T150" s="250"/>
      <c r="U150" s="250"/>
      <c r="V150" s="250"/>
      <c r="W150" s="250"/>
    </row>
    <row r="151" spans="1:23">
      <c r="A151" s="250"/>
      <c r="B151" s="300"/>
      <c r="C151" s="250"/>
      <c r="D151" s="270"/>
      <c r="E151" s="250"/>
      <c r="F151" s="250"/>
      <c r="G151" s="250"/>
      <c r="H151" s="250"/>
      <c r="I151" s="250"/>
      <c r="J151" s="250"/>
      <c r="K151" s="250"/>
      <c r="L151" s="250"/>
      <c r="M151" s="250"/>
      <c r="N151" s="250"/>
      <c r="O151" s="250"/>
      <c r="P151" s="250"/>
      <c r="Q151" s="250"/>
      <c r="R151" s="250"/>
      <c r="S151" s="250"/>
      <c r="T151" s="250"/>
      <c r="U151" s="250"/>
      <c r="V151" s="250"/>
      <c r="W151" s="250"/>
    </row>
    <row r="152" spans="1:23">
      <c r="A152" s="250"/>
      <c r="B152" s="300"/>
      <c r="C152" s="250"/>
      <c r="D152" s="270"/>
      <c r="E152" s="250"/>
      <c r="F152" s="250"/>
      <c r="G152" s="250"/>
      <c r="H152" s="250"/>
      <c r="I152" s="250"/>
      <c r="J152" s="250"/>
      <c r="K152" s="250"/>
      <c r="L152" s="250"/>
      <c r="M152" s="250"/>
      <c r="N152" s="250"/>
      <c r="O152" s="250"/>
      <c r="P152" s="250"/>
      <c r="Q152" s="250"/>
      <c r="R152" s="250"/>
      <c r="S152" s="250"/>
      <c r="T152" s="250"/>
      <c r="U152" s="250"/>
      <c r="V152" s="250"/>
      <c r="W152" s="250"/>
    </row>
    <row r="153" spans="1:23">
      <c r="A153" s="250"/>
      <c r="B153" s="300"/>
      <c r="C153" s="250"/>
      <c r="D153" s="270"/>
      <c r="E153" s="250"/>
      <c r="F153" s="250"/>
      <c r="G153" s="250"/>
      <c r="H153" s="250"/>
      <c r="I153" s="250"/>
      <c r="J153" s="250"/>
      <c r="K153" s="250"/>
      <c r="L153" s="250"/>
      <c r="M153" s="250"/>
      <c r="N153" s="250"/>
      <c r="O153" s="250"/>
      <c r="P153" s="250"/>
      <c r="Q153" s="250"/>
      <c r="R153" s="250"/>
      <c r="S153" s="250"/>
      <c r="T153" s="250"/>
      <c r="U153" s="250"/>
      <c r="V153" s="250"/>
      <c r="W153" s="250"/>
    </row>
    <row r="154" spans="1:23">
      <c r="A154" s="250"/>
      <c r="B154" s="300"/>
      <c r="C154" s="250"/>
      <c r="D154" s="270"/>
      <c r="E154" s="250"/>
      <c r="F154" s="250"/>
      <c r="G154" s="250"/>
      <c r="H154" s="250"/>
      <c r="I154" s="250"/>
      <c r="J154" s="250"/>
      <c r="K154" s="250"/>
      <c r="L154" s="250"/>
      <c r="M154" s="250"/>
      <c r="N154" s="250"/>
      <c r="O154" s="250"/>
      <c r="P154" s="250"/>
      <c r="Q154" s="250"/>
      <c r="R154" s="250"/>
      <c r="S154" s="250"/>
      <c r="T154" s="250"/>
      <c r="U154" s="250"/>
      <c r="V154" s="250"/>
      <c r="W154" s="250"/>
    </row>
    <row r="155" spans="1:23">
      <c r="A155" s="250"/>
      <c r="B155" s="300"/>
      <c r="C155" s="250"/>
      <c r="D155" s="270"/>
      <c r="E155" s="250"/>
      <c r="F155" s="250"/>
      <c r="G155" s="250"/>
      <c r="H155" s="250"/>
      <c r="I155" s="250"/>
      <c r="J155" s="250"/>
      <c r="K155" s="250"/>
      <c r="L155" s="250"/>
      <c r="M155" s="250"/>
      <c r="N155" s="250"/>
      <c r="O155" s="250"/>
      <c r="P155" s="250"/>
      <c r="Q155" s="250"/>
      <c r="R155" s="250"/>
      <c r="S155" s="250"/>
      <c r="T155" s="250"/>
      <c r="U155" s="250"/>
      <c r="V155" s="250"/>
      <c r="W155" s="250"/>
    </row>
    <row r="156" spans="1:23">
      <c r="A156" s="250"/>
      <c r="B156" s="300"/>
      <c r="C156" s="250"/>
      <c r="D156" s="270"/>
      <c r="E156" s="250"/>
      <c r="F156" s="250"/>
      <c r="G156" s="250"/>
      <c r="H156" s="250"/>
      <c r="I156" s="250"/>
      <c r="J156" s="250"/>
      <c r="K156" s="250"/>
      <c r="L156" s="250"/>
      <c r="M156" s="250"/>
      <c r="N156" s="250"/>
      <c r="O156" s="250"/>
      <c r="P156" s="250"/>
      <c r="Q156" s="250"/>
      <c r="R156" s="250"/>
      <c r="S156" s="250"/>
      <c r="T156" s="250"/>
      <c r="U156" s="250"/>
      <c r="V156" s="250"/>
      <c r="W156" s="250"/>
    </row>
    <row r="157" spans="1:23">
      <c r="A157" s="250"/>
      <c r="B157" s="300"/>
      <c r="C157" s="250"/>
      <c r="D157" s="270"/>
      <c r="E157" s="250"/>
      <c r="F157" s="250"/>
      <c r="G157" s="250"/>
      <c r="H157" s="250"/>
      <c r="I157" s="250"/>
      <c r="J157" s="250"/>
      <c r="K157" s="250"/>
      <c r="L157" s="250"/>
      <c r="M157" s="250"/>
      <c r="N157" s="250"/>
      <c r="O157" s="250"/>
      <c r="P157" s="250"/>
      <c r="Q157" s="250"/>
      <c r="R157" s="250"/>
      <c r="S157" s="250"/>
      <c r="T157" s="250"/>
      <c r="U157" s="250"/>
      <c r="V157" s="250"/>
      <c r="W157" s="250"/>
    </row>
    <row r="158" spans="1:23">
      <c r="A158" s="250"/>
      <c r="B158" s="300"/>
      <c r="C158" s="250"/>
      <c r="D158" s="270"/>
      <c r="E158" s="250"/>
      <c r="F158" s="250"/>
      <c r="G158" s="250"/>
      <c r="H158" s="250"/>
      <c r="I158" s="250"/>
      <c r="J158" s="250"/>
      <c r="K158" s="250"/>
      <c r="L158" s="250"/>
      <c r="M158" s="250"/>
      <c r="N158" s="250"/>
      <c r="O158" s="250"/>
      <c r="P158" s="250"/>
      <c r="Q158" s="250"/>
      <c r="R158" s="250"/>
      <c r="S158" s="250"/>
      <c r="T158" s="250"/>
      <c r="U158" s="250"/>
      <c r="V158" s="250"/>
      <c r="W158" s="250"/>
    </row>
    <row r="159" spans="1:23">
      <c r="A159" s="250"/>
      <c r="B159" s="300"/>
      <c r="C159" s="250"/>
      <c r="D159" s="270"/>
      <c r="E159" s="250"/>
      <c r="F159" s="250"/>
      <c r="G159" s="250"/>
      <c r="H159" s="250"/>
      <c r="I159" s="250"/>
      <c r="J159" s="250"/>
      <c r="K159" s="250"/>
      <c r="L159" s="250"/>
      <c r="M159" s="250"/>
      <c r="N159" s="250"/>
      <c r="O159" s="250"/>
      <c r="P159" s="250"/>
      <c r="Q159" s="250"/>
      <c r="R159" s="250"/>
      <c r="S159" s="250"/>
      <c r="T159" s="250"/>
      <c r="U159" s="250"/>
      <c r="V159" s="250"/>
      <c r="W159" s="250"/>
    </row>
    <row r="160" spans="1:23">
      <c r="A160" s="250"/>
      <c r="B160" s="300"/>
      <c r="C160" s="250"/>
      <c r="D160" s="270"/>
      <c r="E160" s="250"/>
      <c r="F160" s="250"/>
      <c r="G160" s="250"/>
      <c r="H160" s="250"/>
      <c r="I160" s="250"/>
      <c r="J160" s="250"/>
      <c r="K160" s="250"/>
      <c r="L160" s="250"/>
      <c r="M160" s="250"/>
      <c r="N160" s="250"/>
      <c r="O160" s="250"/>
      <c r="P160" s="250"/>
      <c r="Q160" s="250"/>
      <c r="R160" s="250"/>
      <c r="S160" s="250"/>
      <c r="T160" s="250"/>
      <c r="U160" s="250"/>
      <c r="V160" s="250"/>
      <c r="W160" s="250"/>
    </row>
    <row r="161" spans="1:23">
      <c r="A161" s="250"/>
      <c r="B161" s="300"/>
      <c r="C161" s="250"/>
      <c r="D161" s="270"/>
      <c r="E161" s="250"/>
      <c r="F161" s="250"/>
      <c r="G161" s="250"/>
      <c r="H161" s="250"/>
      <c r="I161" s="250"/>
      <c r="J161" s="250"/>
      <c r="K161" s="250"/>
      <c r="L161" s="250"/>
      <c r="M161" s="250"/>
      <c r="N161" s="250"/>
      <c r="O161" s="250"/>
      <c r="P161" s="250"/>
      <c r="Q161" s="250"/>
      <c r="R161" s="250"/>
      <c r="S161" s="250"/>
      <c r="T161" s="250"/>
      <c r="U161" s="250"/>
      <c r="V161" s="250"/>
      <c r="W161" s="250"/>
    </row>
    <row r="162" spans="1:23">
      <c r="A162" s="250"/>
      <c r="B162" s="300"/>
      <c r="C162" s="250"/>
      <c r="D162" s="270"/>
      <c r="E162" s="250"/>
      <c r="F162" s="250"/>
      <c r="G162" s="250"/>
      <c r="H162" s="250"/>
      <c r="I162" s="250"/>
      <c r="J162" s="250"/>
      <c r="K162" s="250"/>
      <c r="L162" s="250"/>
      <c r="M162" s="250"/>
      <c r="N162" s="250"/>
      <c r="O162" s="250"/>
      <c r="P162" s="250"/>
      <c r="Q162" s="250"/>
      <c r="R162" s="250"/>
      <c r="S162" s="250"/>
      <c r="T162" s="250"/>
      <c r="U162" s="250"/>
      <c r="V162" s="250"/>
      <c r="W162" s="250"/>
    </row>
    <row r="163" spans="1:23">
      <c r="A163" s="250"/>
      <c r="B163" s="300"/>
      <c r="C163" s="250"/>
      <c r="D163" s="270"/>
      <c r="E163" s="250"/>
      <c r="F163" s="250"/>
      <c r="G163" s="250"/>
      <c r="H163" s="250"/>
      <c r="I163" s="250"/>
      <c r="J163" s="250"/>
      <c r="K163" s="250"/>
      <c r="L163" s="250"/>
      <c r="M163" s="250"/>
      <c r="N163" s="250"/>
      <c r="O163" s="250"/>
      <c r="P163" s="250"/>
      <c r="Q163" s="250"/>
      <c r="R163" s="250"/>
      <c r="S163" s="250"/>
      <c r="T163" s="250"/>
      <c r="U163" s="250"/>
      <c r="V163" s="250"/>
      <c r="W163" s="250"/>
    </row>
    <row r="164" spans="1:23">
      <c r="A164" s="250"/>
      <c r="B164" s="300"/>
      <c r="C164" s="250"/>
      <c r="D164" s="270"/>
      <c r="E164" s="250"/>
      <c r="F164" s="250"/>
      <c r="G164" s="250"/>
      <c r="H164" s="250"/>
      <c r="I164" s="250"/>
      <c r="J164" s="250"/>
      <c r="K164" s="250"/>
      <c r="L164" s="250"/>
      <c r="M164" s="250"/>
      <c r="N164" s="250"/>
      <c r="O164" s="250"/>
      <c r="P164" s="250"/>
      <c r="Q164" s="250"/>
      <c r="R164" s="250"/>
      <c r="S164" s="250"/>
      <c r="T164" s="250"/>
      <c r="U164" s="250"/>
      <c r="V164" s="250"/>
      <c r="W164" s="250"/>
    </row>
    <row r="165" spans="1:23">
      <c r="A165" s="250"/>
      <c r="B165" s="300"/>
      <c r="C165" s="250"/>
      <c r="D165" s="270"/>
      <c r="E165" s="250"/>
      <c r="F165" s="250"/>
      <c r="G165" s="250"/>
      <c r="H165" s="250"/>
      <c r="I165" s="250"/>
      <c r="J165" s="250"/>
      <c r="K165" s="250"/>
      <c r="L165" s="250"/>
      <c r="M165" s="250"/>
      <c r="N165" s="250"/>
      <c r="O165" s="250"/>
      <c r="P165" s="250"/>
      <c r="Q165" s="250"/>
      <c r="R165" s="250"/>
      <c r="S165" s="250"/>
      <c r="T165" s="250"/>
      <c r="U165" s="250"/>
      <c r="V165" s="250"/>
      <c r="W165" s="250"/>
    </row>
    <row r="166" spans="1:23">
      <c r="A166" s="250"/>
      <c r="B166" s="300"/>
      <c r="C166" s="250"/>
      <c r="D166" s="270"/>
      <c r="E166" s="250"/>
      <c r="F166" s="250"/>
      <c r="G166" s="250"/>
      <c r="H166" s="250"/>
      <c r="I166" s="250"/>
      <c r="J166" s="250"/>
      <c r="K166" s="250"/>
      <c r="L166" s="250"/>
      <c r="M166" s="250"/>
      <c r="N166" s="250"/>
      <c r="O166" s="250"/>
      <c r="P166" s="250"/>
      <c r="Q166" s="250"/>
      <c r="R166" s="250"/>
      <c r="S166" s="250"/>
      <c r="T166" s="250"/>
      <c r="U166" s="250"/>
      <c r="V166" s="250"/>
      <c r="W166" s="250"/>
    </row>
    <row r="167" spans="1:23">
      <c r="A167" s="250"/>
      <c r="B167" s="300"/>
      <c r="C167" s="250"/>
      <c r="D167" s="270"/>
      <c r="E167" s="250"/>
      <c r="F167" s="250"/>
      <c r="G167" s="250"/>
      <c r="H167" s="250"/>
      <c r="I167" s="250"/>
      <c r="J167" s="250"/>
      <c r="K167" s="250"/>
      <c r="L167" s="250"/>
      <c r="M167" s="250"/>
      <c r="N167" s="250"/>
      <c r="O167" s="250"/>
      <c r="P167" s="250"/>
      <c r="Q167" s="250"/>
      <c r="R167" s="250"/>
      <c r="S167" s="250"/>
      <c r="T167" s="250"/>
      <c r="U167" s="250"/>
      <c r="V167" s="250"/>
      <c r="W167" s="250"/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13" priority="13" operator="equal">
      <formula>0</formula>
    </cfRule>
  </conditionalFormatting>
  <conditionalFormatting sqref="A3">
    <cfRule type="expression" dxfId="112" priority="7">
      <formula>$A$1&gt;2</formula>
    </cfRule>
    <cfRule type="expression" dxfId="111" priority="8">
      <formula>$A$1&lt;1</formula>
    </cfRule>
  </conditionalFormatting>
  <conditionalFormatting sqref="C8">
    <cfRule type="expression" dxfId="110" priority="23">
      <formula>$A$1&gt;=1</formula>
    </cfRule>
  </conditionalFormatting>
  <conditionalFormatting sqref="C21">
    <cfRule type="expression" dxfId="109" priority="12">
      <formula>$A$1&gt;=1</formula>
    </cfRule>
  </conditionalFormatting>
  <conditionalFormatting sqref="E5:J21">
    <cfRule type="expression" dxfId="108" priority="4">
      <formula>$A$3=0</formula>
    </cfRule>
  </conditionalFormatting>
  <conditionalFormatting sqref="E5:M21">
    <cfRule type="expression" dxfId="107" priority="15">
      <formula>$A$1&lt;1</formula>
    </cfRule>
  </conditionalFormatting>
  <conditionalFormatting sqref="E5:N21">
    <cfRule type="expression" dxfId="106" priority="11">
      <formula>$A$1&gt;2</formula>
    </cfRule>
  </conditionalFormatting>
  <conditionalFormatting sqref="F8:F21">
    <cfRule type="containsErrors" dxfId="105" priority="5">
      <formula>ISERROR(F8)</formula>
    </cfRule>
  </conditionalFormatting>
  <conditionalFormatting sqref="I8:J21">
    <cfRule type="containsErrors" dxfId="104" priority="6">
      <formula>ISERROR(I8)</formula>
    </cfRule>
  </conditionalFormatting>
  <conditionalFormatting sqref="L5:M21">
    <cfRule type="expression" dxfId="103" priority="10">
      <formula>$A$1&lt;2</formula>
    </cfRule>
  </conditionalFormatting>
  <conditionalFormatting sqref="M8:M21">
    <cfRule type="expression" dxfId="102" priority="1">
      <formula>$M$6=0*(M8=MAX($M$8:$M$21))</formula>
    </cfRule>
    <cfRule type="expression" dxfId="101" priority="2">
      <formula>$A$1=0*(M8=MAX($M$8:$M$21))</formula>
    </cfRule>
    <cfRule type="expression" dxfId="100" priority="3">
      <formula>$A$1=2*(M8=MAX($M$8:$M$21))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14"/>
  <dimension ref="A1:AH239"/>
  <sheetViews>
    <sheetView showGridLines="0" showRowColHeaders="0" zoomScale="85" zoomScaleNormal="85" workbookViewId="0">
      <pane xSplit="3" topLeftCell="X1" activePane="topRight" state="frozen"/>
      <selection pane="topRight" activeCell="AA88" sqref="AA88"/>
    </sheetView>
  </sheetViews>
  <sheetFormatPr defaultRowHeight="15" customHeight="1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>
      <c r="A1" s="88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>
      <c r="A2" s="29" t="s">
        <v>20</v>
      </c>
      <c r="C2" s="29" t="s">
        <v>21</v>
      </c>
      <c r="AH2" s="247"/>
    </row>
    <row r="3" spans="1:34" ht="25.2" customHeight="1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>
      <c r="A4" s="27">
        <f>IF(SUM(E4:AD4)=0,(" "),COUNTIF(E4:AD4,"&gt;0"))</f>
        <v>11</v>
      </c>
      <c r="B4" s="28" t="str">
        <f>Horendonk!A4</f>
        <v>Ansems Ferre</v>
      </c>
      <c r="C4" s="32">
        <f>IF(Horendonk!AL4=0," ",SUM(E4:AD4))</f>
        <v>125.262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41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>
        <f>IF(Horendonk!Y4=(""),(""),ROUND(Horendonk!Y4/Horendonk!$T4*10,3))</f>
        <v>12.105</v>
      </c>
      <c r="W4" s="36" t="str">
        <f>IF(Horendonk!Z4=(""),(""),ROUND(Horendonk!Z4/Horendonk!$T4*10,3))</f>
        <v/>
      </c>
      <c r="X4" s="36">
        <f>IF(Horendonk!AA4=(""),(""),ROUND(Horendonk!AA4/Horendonk!$T4*10,3))</f>
        <v>7.8949999999999996</v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46"/>
    </row>
    <row r="5" spans="1:34" ht="15" customHeight="1">
      <c r="A5" s="27">
        <f t="shared" ref="A5:A15" si="0">IF(SUM(E5:AD5)=0,(" "),COUNTIF(E5:AD5,"&gt;0"))</f>
        <v>7</v>
      </c>
      <c r="B5" s="28" t="str">
        <f>Horendonk!A5</f>
        <v xml:space="preserve">Arnouts Louis    </v>
      </c>
      <c r="C5" s="32">
        <f>IF(Horendonk!AL5=0," ",SUM(E5:AD5))</f>
        <v>72.286000000000001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>
        <f>IF(Horendonk!Y5=(""),(""),ROUND(Horendonk!Y5/Horendonk!$T5*10,3))</f>
        <v>14.856999999999999</v>
      </c>
      <c r="W5" s="36">
        <f>IF(Horendonk!Z5=(""),(""),ROUND(Horendonk!Z5/Horendonk!$T5*10,3))</f>
        <v>9.7140000000000004</v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46"/>
    </row>
    <row r="6" spans="1:34" ht="15" customHeight="1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46"/>
    </row>
    <row r="7" spans="1:34" ht="15" customHeight="1">
      <c r="A7" s="27">
        <f t="shared" si="0"/>
        <v>14</v>
      </c>
      <c r="B7" s="28" t="str">
        <f>Horendonk!A7</f>
        <v>De Backer Jef</v>
      </c>
      <c r="C7" s="32">
        <f>IF(Horendonk!AL7=0," ",SUM(E7:AD7))</f>
        <v>133.07599999999999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41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>
        <f>IF(Horendonk!Z7=(""),(""),ROUND(Horendonk!Z7/Horendonk!$T7*10,3))</f>
        <v>7.6920000000000002</v>
      </c>
      <c r="X7" s="36">
        <f>IF(Horendonk!AA7=(""),(""),ROUND(Horendonk!AA7/Horendonk!$T7*10,3))</f>
        <v>10.769</v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46"/>
    </row>
    <row r="8" spans="1:34" ht="15" customHeight="1">
      <c r="A8" s="27">
        <f t="shared" si="0"/>
        <v>12</v>
      </c>
      <c r="B8" s="28" t="str">
        <f>Horendonk!A8</f>
        <v>Herreyers Remy</v>
      </c>
      <c r="C8" s="32">
        <f>IF(Horendonk!AL8=0," ",SUM(E8:AD8))</f>
        <v>90.830999999999989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41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>
        <f>IF(Horendonk!Z8=(""),(""),ROUND(Horendonk!Z8/Horendonk!$T8*10,3))</f>
        <v>5.8330000000000002</v>
      </c>
      <c r="X8" s="36">
        <f>IF(Horendonk!AA8=(""),(""),ROUND(Horendonk!AA8/Horendonk!$T8*10,3))</f>
        <v>10.208</v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46"/>
    </row>
    <row r="9" spans="1:34" ht="15" customHeight="1">
      <c r="A9" s="27">
        <f t="shared" si="0"/>
        <v>12</v>
      </c>
      <c r="B9" s="77" t="str">
        <f>Horendonk!A9</f>
        <v>Maas Guy</v>
      </c>
      <c r="C9" s="32">
        <f>IF(Horendonk!AL9=0," ",SUM(E9:AD9))</f>
        <v>99.200000000000017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>
        <f>IF(Horendonk!Y9=(""),(""),ROUND(Horendonk!Y9/Horendonk!$T9*10,3))</f>
        <v>10.4</v>
      </c>
      <c r="W9" s="36">
        <f>IF(Horendonk!Z9=(""),(""),ROUND(Horendonk!Z9/Horendonk!$T9*10,3))</f>
        <v>6</v>
      </c>
      <c r="X9" s="36">
        <f>IF(Horendonk!AA9=(""),(""),ROUND(Horendonk!AA9/Horendonk!$T9*10,3))</f>
        <v>4.8</v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46"/>
    </row>
    <row r="10" spans="1:34" ht="15" customHeight="1">
      <c r="A10" s="27">
        <f t="shared" si="0"/>
        <v>10</v>
      </c>
      <c r="B10" s="28" t="str">
        <f>Horendonk!A10</f>
        <v xml:space="preserve">Nelen Johan  </v>
      </c>
      <c r="C10" s="32">
        <f>IF(Horendonk!AL10=0," ",SUM(E10:AD10))</f>
        <v>95.332999999999998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>
        <f>IF(Horendonk!Y10=(""),(""),ROUND(Horendonk!Y10/Horendonk!$T10*10,3))</f>
        <v>8.6669999999999998</v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46"/>
    </row>
    <row r="11" spans="1:34" ht="15" customHeight="1">
      <c r="A11" s="27">
        <f t="shared" si="0"/>
        <v>13</v>
      </c>
      <c r="B11" s="28" t="str">
        <f>Horendonk!A11</f>
        <v>Oerlemans Willy</v>
      </c>
      <c r="C11" s="32">
        <f>IF(Horendonk!AL11=0," ",SUM(E11:AD11))</f>
        <v>108.93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41">
        <f>IF(Horendonk!U11=(""),(""),ROUND(Horendonk!U11/Horendonk!$T11*10,3))</f>
        <v>7.5</v>
      </c>
      <c r="S11" s="36">
        <f>IF(Horendonk!V11=(""),(""),ROUND(Horendonk!V11/Horendonk!$T11*10,3))</f>
        <v>7.5</v>
      </c>
      <c r="T11" s="241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>
        <f>IF(Horendonk!Y11=(""),(""),ROUND(Horendonk!Y11/Horendonk!$T11*10,3))</f>
        <v>5</v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46"/>
    </row>
    <row r="12" spans="1:34" ht="15" customHeight="1">
      <c r="A12" s="27">
        <f t="shared" si="0"/>
        <v>14</v>
      </c>
      <c r="B12" s="28" t="str">
        <f>Horendonk!A12</f>
        <v>Siemons Jos</v>
      </c>
      <c r="C12" s="32">
        <f>IF(Horendonk!AL12=0," ",SUM(E12:AD12))</f>
        <v>136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>
        <f>IF(Horendonk!AA12=(""),(""),ROUND(Horendonk!AA12/Horendonk!$T12*10,3))</f>
        <v>9.6</v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46"/>
    </row>
    <row r="13" spans="1:34" ht="15" customHeight="1">
      <c r="A13" s="27">
        <f t="shared" si="0"/>
        <v>13</v>
      </c>
      <c r="B13" s="28" t="str">
        <f>Horendonk!A13</f>
        <v>Van Aert André</v>
      </c>
      <c r="C13" s="32">
        <f>IF(Horendonk!AL13=0," ",SUM(E13:AD13))</f>
        <v>125.17100000000001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>
        <f>IF(Horendonk!Y13=(""),(""),ROUND(Horendonk!Y13/Horendonk!$T13*10,3))</f>
        <v>8.2759999999999998</v>
      </c>
      <c r="W13" s="36">
        <f>IF(Horendonk!Z13=(""),(""),ROUND(Horendonk!Z13/Horendonk!$T13*10,3))</f>
        <v>12.414</v>
      </c>
      <c r="X13" s="36">
        <f>IF(Horendonk!AA13=(""),(""),ROUND(Horendonk!AA13/Horendonk!$T13*10,3))</f>
        <v>9.6549999999999994</v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46"/>
    </row>
    <row r="14" spans="1:34" ht="15" customHeight="1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24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24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46"/>
    </row>
    <row r="15" spans="1:34" ht="15" customHeight="1">
      <c r="A15" s="27">
        <f t="shared" si="0"/>
        <v>12</v>
      </c>
      <c r="B15" s="78" t="str">
        <f>Horendonk!A15</f>
        <v xml:space="preserve">Vergouwen René </v>
      </c>
      <c r="C15" s="32">
        <f>IF(Horendonk!AL15=0," ",SUM(E15:AD15))</f>
        <v>115.334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41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>
        <f>IF(Horendonk!Z15=(""),(""),ROUND(Horendonk!Z15/Horendonk!$T15*10,3))</f>
        <v>6.3330000000000002</v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46"/>
    </row>
    <row r="16" spans="1:34" ht="24" customHeight="1">
      <c r="C16" s="208" t="str">
        <f>B3</f>
        <v>HORENDONK</v>
      </c>
      <c r="D16" s="21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>
        <f t="shared" si="1"/>
        <v>59.305000000000007</v>
      </c>
      <c r="W16" s="36">
        <f t="shared" si="1"/>
        <v>47.985999999999997</v>
      </c>
      <c r="X16" s="36">
        <f t="shared" si="1"/>
        <v>52.927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46"/>
    </row>
    <row r="17" spans="1:30" s="39" customFormat="1" ht="15" customHeight="1">
      <c r="A17" s="37"/>
      <c r="B17" s="38"/>
      <c r="C17" s="41">
        <f>SUM(C4:C15)</f>
        <v>1125.8680000000002</v>
      </c>
      <c r="D17" s="21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>
        <f t="shared" ref="V17" si="18">IF(V16=(" "),(" "),U17+V16)</f>
        <v>1024.9549999999999</v>
      </c>
      <c r="W17" s="40">
        <f t="shared" ref="W17" si="19">IF(W16=(" "),(" "),V17+W16)</f>
        <v>1072.941</v>
      </c>
      <c r="X17" s="40">
        <f t="shared" ref="X17" si="20">IF(X16=(" "),(" "),W17+X16)</f>
        <v>1125.8679999999999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/>
    <row r="19" spans="1:30" ht="15" customHeight="1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26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>
      <c r="A20" s="27">
        <f t="shared" ref="A20:A33" si="27">IF(SUM(E20:AD20)=0,(" "),COUNTIF(E20:AD20,"&gt;0"))</f>
        <v>9</v>
      </c>
      <c r="B20" s="28" t="str">
        <f>Kerkuilen!A4</f>
        <v xml:space="preserve">Antonissen Gust      </v>
      </c>
      <c r="C20" s="32">
        <f>IF(Kerkuilen!AL4=0," ",SUM(E20:AD20))</f>
        <v>98.065000000000012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>
        <f>IF(Kerkuilen!Y4=(""),(""),ROUND(Kerkuilen!Y4/Kerkuilen!$T4*10,3))</f>
        <v>14.516</v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>
      <c r="A21" s="27">
        <f t="shared" si="27"/>
        <v>7</v>
      </c>
      <c r="B21" s="28" t="str">
        <f>Kerkuilen!A5</f>
        <v>De Kaey Piet</v>
      </c>
      <c r="C21" s="32">
        <f>IF(Kerkuilen!AL5=0," ",SUM(E21:AD21))</f>
        <v>79.423999999999992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>
        <f>IF(Kerkuilen!AA5=(""),(""),ROUND(Kerkuilen!AA5/Kerkuilen!$T5*10,3))</f>
        <v>10</v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>
      <c r="A22" s="27">
        <f t="shared" si="27"/>
        <v>8</v>
      </c>
      <c r="B22" s="28" t="str">
        <f>Kerkuilen!A6</f>
        <v>Elst Stan</v>
      </c>
      <c r="C22" s="32">
        <f>IF(Kerkuilen!AL6=0," ",SUM(E22:AD22))</f>
        <v>69.762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>
        <f>IF(Kerkuilen!Y6=(""),(""),ROUND(Kerkuilen!Y6/Kerkuilen!$T6*10,3))</f>
        <v>9.048</v>
      </c>
      <c r="W22" s="36">
        <f>IF(Kerkuilen!Z6=(""),(""),ROUND(Kerkuilen!Z6/Kerkuilen!$T6*10,3))</f>
        <v>7.1429999999999998</v>
      </c>
      <c r="X22" s="36">
        <f>IF(Kerkuilen!AA6=(""),(""),ROUND(Kerkuilen!AA6/Kerkuilen!$T6*10,3))</f>
        <v>10.714</v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>
      <c r="A25" s="27">
        <f t="shared" si="27"/>
        <v>10</v>
      </c>
      <c r="B25" s="28" t="str">
        <f>Kerkuilen!A9</f>
        <v>Lambrechts Jef</v>
      </c>
      <c r="C25" s="32">
        <f>IF(Kerkuilen!AL9=0," ",SUM(E25:AD25))</f>
        <v>90.566000000000003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>
        <f>IF(Kerkuilen!Y9=(""),(""),ROUND(Kerkuilen!Y9/Kerkuilen!$T9*10,3))</f>
        <v>12.263999999999999</v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>
      <c r="A26" s="27">
        <f t="shared" si="27"/>
        <v>9</v>
      </c>
      <c r="B26" s="28" t="str">
        <f>Kerkuilen!A10</f>
        <v>Naulaerts Rik</v>
      </c>
      <c r="C26" s="32">
        <f>IF(Kerkuilen!AL10=0," ",SUM(E26:AD26))</f>
        <v>82.352000000000004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>
        <f>IF(Kerkuilen!Z10=(""),(""),ROUND(Kerkuilen!Z10/Kerkuilen!$T10*10,3))</f>
        <v>7.843</v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>
      <c r="A28" s="27">
        <f t="shared" si="27"/>
        <v>14</v>
      </c>
      <c r="B28" s="28" t="str">
        <f>Kerkuilen!A12</f>
        <v>Pleysier Luc</v>
      </c>
      <c r="C28" s="32">
        <f>IF(Kerkuilen!AL12=0," ",SUM(E28:AD28))</f>
        <v>119.89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>
        <f>IF(Kerkuilen!Z12=(""),(""),ROUND(Kerkuilen!Z12/Kerkuilen!$T12*10,3))</f>
        <v>11.888999999999999</v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>
      <c r="A29" s="27">
        <f t="shared" si="27"/>
        <v>11</v>
      </c>
      <c r="B29" s="28" t="str">
        <f>Kerkuilen!A13</f>
        <v xml:space="preserve">Quick Gerard </v>
      </c>
      <c r="C29" s="32">
        <f>IF(Kerkuilen!AL13=0," ",SUM(E29:AD29))</f>
        <v>121.15299999999999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>
        <f>IF(Kerkuilen!Y13=(""),(""),ROUND(Kerkuilen!Y13/Kerkuilen!$T13*10,3))</f>
        <v>14.615</v>
      </c>
      <c r="W29" s="36">
        <f>IF(Kerkuilen!Z13=(""),(""),ROUND(Kerkuilen!Z13/Kerkuilen!$T13*10,3))</f>
        <v>9.2309999999999999</v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>
      <c r="A30" s="27">
        <f t="shared" si="27"/>
        <v>10</v>
      </c>
      <c r="B30" s="77" t="str">
        <f>Kerkuilen!A14</f>
        <v>Schrooyen Jef</v>
      </c>
      <c r="C30" s="32">
        <f>IF(Kerkuilen!AL14=0," ",SUM(E30:AD30))</f>
        <v>91.567999999999998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>
        <f>IF(Kerkuilen!AA14=(""),(""),ROUND(Kerkuilen!AA14/Kerkuilen!$T14*10,3))</f>
        <v>15.49</v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>
      <c r="A31" s="27">
        <f t="shared" si="27"/>
        <v>11</v>
      </c>
      <c r="B31" s="28" t="str">
        <f>Kerkuilen!A15</f>
        <v>Uytdewilligen Hubert</v>
      </c>
      <c r="C31" s="32">
        <f>IF(Kerkuilen!AL15=0," ",SUM(E31:AD31))</f>
        <v>113.03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>
        <f>IF(Kerkuilen!Y15=(""),(""),ROUND(Kerkuilen!Y15/Kerkuilen!$T15*10,3))</f>
        <v>9.0909999999999993</v>
      </c>
      <c r="W31" s="36">
        <f>IF(Kerkuilen!Z15=(""),(""),ROUND(Kerkuilen!Z15/Kerkuilen!$T15*10,3))</f>
        <v>9.3940000000000001</v>
      </c>
      <c r="X31" s="36">
        <f>IF(Kerkuilen!AA15=(""),(""),ROUND(Kerkuilen!AA15/Kerkuilen!$T15*10,3))</f>
        <v>10</v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24">
        <f>IF(Kerkuilen!D16=(""),(""),ROUND(Kerkuilen!D16/20*10,3))</f>
        <v>8</v>
      </c>
      <c r="G32" s="224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24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>
      <c r="A33" s="27">
        <f t="shared" si="27"/>
        <v>9</v>
      </c>
      <c r="B33" s="38" t="str">
        <f>Kerkuilen!A17</f>
        <v>Van Oers Danny  [NS 50]</v>
      </c>
      <c r="C33" s="32">
        <f>IF(Kerkuilen!AL17=0," ",SUM(E33:AD33))</f>
        <v>81.617999999999995</v>
      </c>
      <c r="E33" s="36" t="str">
        <f>IF(Kerkuilen!C17=(""),(""),ROUND(Kerkuilen!C17/Kerkuilen!$B17*10,3))</f>
        <v/>
      </c>
      <c r="F33" s="224">
        <f>IF(Kerkuilen!D17=(""),(""),ROUND(Kerkuilen!D17/50*10,3))</f>
        <v>10</v>
      </c>
      <c r="G33" s="224">
        <f>IF(Kerkuilen!E17=(""),(""),ROUND(Kerkuilen!E17/50*10,3))</f>
        <v>9</v>
      </c>
      <c r="H33" s="224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>
        <f>IF(Kerkuilen!Z17=(""),(""),ROUND(Kerkuilen!Z17/Kerkuilen!$T17*10,3))</f>
        <v>8.0389999999999997</v>
      </c>
      <c r="X33" s="36">
        <f>IF(Kerkuilen!AA17=(""),(""),ROUND(Kerkuilen!AA17/Kerkuilen!$T17*10,3))</f>
        <v>5.0979999999999999</v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>
      <c r="A34" s="27">
        <f t="shared" ref="A34" si="28">IF(SUM(E34:AD34)=0,(" "),COUNTIF(E34:AD34,"&gt;0"))</f>
        <v>4</v>
      </c>
      <c r="B34" s="28" t="str">
        <f>Kerkuilen!A18</f>
        <v>Van Oers John</v>
      </c>
      <c r="C34" s="32">
        <f>IF(Kerkuilen!AL16=0," ",SUM(E34:AD34))</f>
        <v>39.033000000000001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>
        <f>IF(Kerkuilen!Y18=(""),(""),ROUND(Kerkuilen!Y18/Kerkuilen!$T18*10,3))</f>
        <v>8.7100000000000009</v>
      </c>
      <c r="W34" s="36" t="str">
        <f>IF(Kerkuilen!Z18=(""),(""),ROUND(Kerkuilen!Z18/Kerkuilen!$T18*10,3))</f>
        <v/>
      </c>
      <c r="X34" s="36">
        <f>IF(Kerkuilen!AA18=(""),(""),ROUND(Kerkuilen!AA18/Kerkuilen!$T18*10,3))</f>
        <v>12.581</v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>
      <c r="C35" s="209" t="str">
        <f>B19</f>
        <v>KERKUILEN</v>
      </c>
      <c r="D35" s="21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>
        <f t="shared" si="29"/>
        <v>68.244</v>
      </c>
      <c r="W35" s="36">
        <f t="shared" si="29"/>
        <v>53.539000000000001</v>
      </c>
      <c r="X35" s="36">
        <f t="shared" si="29"/>
        <v>63.882999999999996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>
      <c r="A36" s="37"/>
      <c r="B36" s="38"/>
      <c r="C36" s="41">
        <f>SUM(C20:C34)</f>
        <v>1158.6749999999997</v>
      </c>
      <c r="D36" s="21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>
        <f t="shared" si="30"/>
        <v>1041.2530000000002</v>
      </c>
      <c r="W36" s="40">
        <f t="shared" si="30"/>
        <v>1094.7920000000001</v>
      </c>
      <c r="X36" s="40">
        <f t="shared" si="30"/>
        <v>1158.6750000000002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26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>
      <c r="A39" s="27">
        <f t="shared" ref="A39:A49" si="31">IF(SUM(E39:AD39)=0,(" "),COUNTIF(E39:AD39,"&gt;0"))</f>
        <v>13</v>
      </c>
      <c r="B39" s="28" t="str">
        <f>Meeuwen1!A4</f>
        <v>Aerts Adri</v>
      </c>
      <c r="C39" s="32">
        <f>IF(Meeuwen1!AL4=0," ",SUM(E39:AD39))</f>
        <v>140.62800000000001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>
        <f>IF(Meeuwen1!Y4=(""),(""),ROUND(Meeuwen1!Y4/Meeuwen1!$T4*10,3))</f>
        <v>14.375</v>
      </c>
      <c r="W39" s="36" t="str">
        <f>IF(Meeuwen1!Z4=(""),(""),ROUND(Meeuwen1!Z4/Meeuwen1!$T4*10,3))</f>
        <v/>
      </c>
      <c r="X39" s="36">
        <f>IF(Meeuwen1!AA4=(""),(""),ROUND(Meeuwen1!AA4/Meeuwen1!$T4*10,3))</f>
        <v>10.625</v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>
      <c r="A40" s="27">
        <f t="shared" si="31"/>
        <v>15</v>
      </c>
      <c r="B40" s="28" t="str">
        <f>Meeuwen1!A5</f>
        <v>Bocken Jean Pierre</v>
      </c>
      <c r="C40" s="32">
        <f>IF(Meeuwen1!AL5=0," ",SUM(E40:AD40))</f>
        <v>122.77600000000001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>
        <f>IF(Meeuwen1!Y5=(""),(""),ROUND(Meeuwen1!Y5/Meeuwen1!$T5*10,3))</f>
        <v>6.1109999999999998</v>
      </c>
      <c r="W40" s="36">
        <f>IF(Meeuwen1!Z5=(""),(""),ROUND(Meeuwen1!Z5/Meeuwen1!$T5*10,3))</f>
        <v>11.667</v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>
      <c r="A41" s="27">
        <f t="shared" si="31"/>
        <v>14</v>
      </c>
      <c r="B41" s="28" t="str">
        <f>Meeuwen1!A6</f>
        <v xml:space="preserve">Bocken Lambert  </v>
      </c>
      <c r="C41" s="32">
        <f>IF(Meeuwen1!AL6=0," ",SUM(E41:AD41))</f>
        <v>125.001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>
        <f>IF(Meeuwen1!Y6=(""),(""),ROUND(Meeuwen1!Y6/Meeuwen1!$T6*10,3))</f>
        <v>7.1429999999999998</v>
      </c>
      <c r="W41" s="36">
        <f>IF(Meeuwen1!Z6=(""),(""),ROUND(Meeuwen1!Z6/Meeuwen1!$T6*10,3))</f>
        <v>8.5709999999999997</v>
      </c>
      <c r="X41" s="36">
        <f>IF(Meeuwen1!AA6=(""),(""),ROUND(Meeuwen1!AA6/Meeuwen1!$T6*10,3))</f>
        <v>8.9290000000000003</v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>
      <c r="A42" s="27">
        <f t="shared" si="31"/>
        <v>14</v>
      </c>
      <c r="B42" s="28" t="str">
        <f>Meeuwen1!A7</f>
        <v>Goetschalkx Herman</v>
      </c>
      <c r="C42" s="32">
        <f>IF(Meeuwen1!AL7=0," ",SUM(E42:AD42))</f>
        <v>120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>
        <f>IF(Meeuwen1!Y7=(""),(""),ROUND(Meeuwen1!Y7/Meeuwen1!$T7*10,3))</f>
        <v>13.333</v>
      </c>
      <c r="W42" s="36" t="str">
        <f>IF(Meeuwen1!Z7=(""),(""),ROUND(Meeuwen1!Z7/Meeuwen1!$T7*10,3))</f>
        <v/>
      </c>
      <c r="X42" s="36">
        <f>IF(Meeuwen1!AA7=(""),(""),ROUND(Meeuwen1!AA7/Meeuwen1!$T7*10,3))</f>
        <v>11.333</v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>
      <c r="A43" s="27">
        <f t="shared" si="31"/>
        <v>4</v>
      </c>
      <c r="B43" s="28" t="str">
        <f>Meeuwen1!A8</f>
        <v>Grauwmans Rik</v>
      </c>
      <c r="C43" s="32">
        <f>IF(Meeuwen1!AL8=0," ",SUM(E43:AD43))</f>
        <v>38.484999999999999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>
        <f>IF(Meeuwen1!Z8=(""),(""),ROUND(Meeuwen1!Z8/Meeuwen1!$T8*10,3))</f>
        <v>13.333</v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>
      <c r="A44" s="27">
        <f t="shared" si="31"/>
        <v>7</v>
      </c>
      <c r="B44" s="28" t="str">
        <f>Meeuwen1!A9</f>
        <v>Meeusen Marc</v>
      </c>
      <c r="C44" s="32">
        <f>IF(Meeuwen1!AL9=0," ",SUM(E44:AD44))</f>
        <v>68.8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>
        <f>IF(Meeuwen1!Z9=(""),(""),ROUND(Meeuwen1!Z9/Meeuwen1!$T9*10,3))</f>
        <v>5.68</v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>
      <c r="A45" s="27">
        <f t="shared" si="31"/>
        <v>10</v>
      </c>
      <c r="B45" s="28" t="str">
        <f>Meeuwen1!A10</f>
        <v>Van Loon Marc</v>
      </c>
      <c r="C45" s="32">
        <f>IF(Meeuwen1!AL10=0," ",SUM(E45:AD45))</f>
        <v>100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>
        <f>IF(Meeuwen1!AA10=(""),(""),ROUND(Meeuwen1!AA10/Meeuwen1!$T10*10,3))</f>
        <v>7.3330000000000002</v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>
      <c r="A46" s="27">
        <f t="shared" si="31"/>
        <v>7</v>
      </c>
      <c r="B46" s="28" t="str">
        <f>Meeuwen1!A11</f>
        <v>Van Zoest Teun</v>
      </c>
      <c r="C46" s="32">
        <f>IF(Meeuwen1!AL11=0," ",SUM(E46:AD46))</f>
        <v>53.888000000000005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>
        <f>IF(Meeuwen1!Z11=(""),(""),ROUND(Meeuwen1!Z11/Meeuwen1!$T11*10,3))</f>
        <v>4.7220000000000004</v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>
      <c r="A47" s="27">
        <f t="shared" si="31"/>
        <v>11</v>
      </c>
      <c r="B47" s="28" t="str">
        <f>Meeuwen1!A12</f>
        <v>Veraart Jos</v>
      </c>
      <c r="C47" s="32">
        <f>IF(Meeuwen1!AL12=0," ",SUM(E47:AD47))</f>
        <v>81.25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>
        <f>IF(Meeuwen1!Z12=(""),(""),ROUND(Meeuwen1!Z12/Meeuwen1!$T12*10,3))</f>
        <v>11.875</v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>
      <c r="A48" s="27">
        <f t="shared" si="31"/>
        <v>11</v>
      </c>
      <c r="B48" s="77" t="str">
        <f>Meeuwen1!A13</f>
        <v>Vossen Filip</v>
      </c>
      <c r="C48" s="32">
        <f>IF(Meeuwen1!AL13=0," ",SUM(E48:AD48))</f>
        <v>115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>
        <f>IF(Meeuwen1!Y13=(""),(""),ROUND(Meeuwen1!Y13/Meeuwen1!$T13*10,3))</f>
        <v>12.5</v>
      </c>
      <c r="W48" s="36" t="str">
        <f>IF(Meeuwen1!Z13=(""),(""),ROUND(Meeuwen1!Z13/Meeuwen1!$T13*10,3))</f>
        <v/>
      </c>
      <c r="X48" s="36">
        <f>IF(Meeuwen1!AA13=(""),(""),ROUND(Meeuwen1!AA13/Meeuwen1!$T13*10,3))</f>
        <v>4.375</v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>
      <c r="A49" s="27">
        <f t="shared" si="31"/>
        <v>14</v>
      </c>
      <c r="B49" s="38" t="str">
        <f>Meeuwen1!A14</f>
        <v>Vossen Ronny  [NS 20]</v>
      </c>
      <c r="C49" s="32">
        <f>IF(Meeuwen1!AL14=0," ",SUM(E49:AD49))</f>
        <v>116.501</v>
      </c>
      <c r="E49" s="224">
        <f>IF(Meeuwen1!C14=(""),(""),ROUND(Meeuwen1!C14/20*10,3))</f>
        <v>11</v>
      </c>
      <c r="F49" s="224">
        <f>IF(Meeuwen1!D14=(""),(""),ROUND(Meeuwen1!D14/20*10,3))</f>
        <v>5</v>
      </c>
      <c r="G49" s="224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>
        <f>IF(Meeuwen1!Y14=(""),(""),ROUND(Meeuwen1!Y14/Meeuwen1!$T14*10,3))</f>
        <v>6.6669999999999998</v>
      </c>
      <c r="W49" s="36" t="str">
        <f>IF(Meeuwen1!Z14=(""),(""),ROUND(Meeuwen1!Z14/Meeuwen1!$T14*10,3))</f>
        <v/>
      </c>
      <c r="X49" s="36">
        <f>IF(Meeuwen1!AA14=(""),(""),ROUND(Meeuwen1!AA14/Meeuwen1!$T14*10,3))</f>
        <v>12</v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>
      <c r="A50" s="27"/>
      <c r="B50" s="28"/>
      <c r="C50" s="210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>
        <f t="shared" si="32"/>
        <v>60.129000000000005</v>
      </c>
      <c r="W50" s="36">
        <f t="shared" si="32"/>
        <v>55.847999999999999</v>
      </c>
      <c r="X50" s="36">
        <f t="shared" si="32"/>
        <v>54.594999999999999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>
      <c r="A51" s="37"/>
      <c r="B51" s="38"/>
      <c r="C51" s="41">
        <f>SUM(C39:C49)</f>
        <v>1082.329</v>
      </c>
      <c r="D51" s="21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>
        <f t="shared" si="33"/>
        <v>971.88600000000008</v>
      </c>
      <c r="W51" s="40">
        <f t="shared" si="33"/>
        <v>1027.7340000000002</v>
      </c>
      <c r="X51" s="40">
        <f t="shared" si="33"/>
        <v>1082.3290000000002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/>
    <row r="53" spans="1:31" ht="15" customHeight="1">
      <c r="B53" s="31" t="s">
        <v>25</v>
      </c>
      <c r="E53" s="27">
        <v>1</v>
      </c>
      <c r="F53" s="27">
        <v>2</v>
      </c>
      <c r="G53" s="27">
        <v>3</v>
      </c>
      <c r="H53" s="226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>
      <c r="A55" s="27">
        <f t="shared" si="34"/>
        <v>16</v>
      </c>
      <c r="B55" s="28" t="str">
        <f>Meeuwen2!A5</f>
        <v>De Backer Jerome</v>
      </c>
      <c r="C55" s="32">
        <f>IF(Meeuwen2!AL5=0," ",SUM(E55:AD55))</f>
        <v>195.26399999999998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>
        <f>IF(Meeuwen2!Y5=(""),(""),ROUND(Meeuwen2!Y5/Meeuwen2!$T5*10,3))</f>
        <v>12.105</v>
      </c>
      <c r="W55" s="36" t="str">
        <f>IF(Meeuwen2!Z5=(""),(""),ROUND(Meeuwen2!Z5/Meeuwen2!$T5*10,3))</f>
        <v/>
      </c>
      <c r="X55" s="36">
        <f>IF(Meeuwen2!AA5=(""),(""),ROUND(Meeuwen2!AA5/Meeuwen2!$T5*10,3))</f>
        <v>11.842000000000001</v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>
      <c r="A56" s="27">
        <f t="shared" si="34"/>
        <v>2</v>
      </c>
      <c r="B56" s="77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>
      <c r="A57" s="27">
        <f t="shared" si="34"/>
        <v>13</v>
      </c>
      <c r="B57" s="28" t="str">
        <f>Meeuwen2!A7</f>
        <v xml:space="preserve">Jacobs Hugo            </v>
      </c>
      <c r="C57" s="32">
        <f>IF(Meeuwen2!AL7=0," ",SUM(E57:AD57))</f>
        <v>121.76499999999999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>
        <f>IF(Meeuwen2!Y7=(""),(""),ROUND(Meeuwen2!Y7/Meeuwen2!$T7*10,3))</f>
        <v>8.5289999999999999</v>
      </c>
      <c r="W57" s="36">
        <f>IF(Meeuwen2!Z7=(""),(""),ROUND(Meeuwen2!Z7/Meeuwen2!$T7*10,3))</f>
        <v>5.2939999999999996</v>
      </c>
      <c r="X57" s="36">
        <f>IF(Meeuwen2!AA7=(""),(""),ROUND(Meeuwen2!AA7/Meeuwen2!$T7*10,3))</f>
        <v>10.294</v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>
      <c r="A61" s="27">
        <f t="shared" si="34"/>
        <v>15</v>
      </c>
      <c r="B61" s="28" t="str">
        <f>Meeuwen2!A11</f>
        <v xml:space="preserve">Present Fons </v>
      </c>
      <c r="C61" s="32">
        <f>IF(Meeuwen2!AL11=0," ",SUM(E61:AD61))</f>
        <v>158.63800000000003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>
        <f>IF(Meeuwen2!Z11=(""),(""),ROUND(Meeuwen2!Z11/Meeuwen2!$T11*10,3))</f>
        <v>12.273</v>
      </c>
      <c r="X61" s="36">
        <f>IF(Meeuwen2!AA11=(""),(""),ROUND(Meeuwen2!AA11/Meeuwen2!$T11*10,3))</f>
        <v>5</v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24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24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24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>
      <c r="A63" s="27">
        <f t="shared" si="34"/>
        <v>13</v>
      </c>
      <c r="B63" s="28" t="str">
        <f>Meeuwen2!A13</f>
        <v>Suykerbuyk Stan</v>
      </c>
      <c r="C63" s="32">
        <f>IF(Meeuwen2!AL13=0," ",SUM(E63:AD63))</f>
        <v>160.60500000000002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>
        <f>IF(Meeuwen2!Y13=(""),(""),ROUND(Meeuwen2!Y13/Meeuwen2!$T13*10,3))</f>
        <v>15.757999999999999</v>
      </c>
      <c r="W63" s="36">
        <f>IF(Meeuwen2!Z13=(""),(""),ROUND(Meeuwen2!Z13/Meeuwen2!$T13*10,3))</f>
        <v>14.848000000000001</v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>
      <c r="A64" s="27">
        <f t="shared" si="34"/>
        <v>14</v>
      </c>
      <c r="B64" s="28" t="str">
        <f>Meeuwen2!A14</f>
        <v xml:space="preserve">Vandersanden Lucien </v>
      </c>
      <c r="C64" s="32">
        <f>IF(Meeuwen2!AL14=0," ",SUM(E64:AD64))</f>
        <v>124.614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>
        <f>IF(Meeuwen2!Y14=(""),(""),ROUND(Meeuwen2!Y14/Meeuwen2!$T14*10,3))</f>
        <v>9.4870000000000001</v>
      </c>
      <c r="W64" s="36">
        <f>IF(Meeuwen2!Z14=(""),(""),ROUND(Meeuwen2!Z14/Meeuwen2!$T14*10,3))</f>
        <v>10.513</v>
      </c>
      <c r="X64" s="36">
        <f>IF(Meeuwen2!AA14=(""),(""),ROUND(Meeuwen2!AA14/Meeuwen2!$T14*10,3))</f>
        <v>7.4359999999999999</v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>
      <c r="A65" s="27">
        <f t="shared" si="34"/>
        <v>11</v>
      </c>
      <c r="B65" s="28" t="str">
        <f>Meeuwen2!A15</f>
        <v>Van Dorst Alfons</v>
      </c>
      <c r="C65" s="32">
        <f>IF(Meeuwen2!AL15=0," ",SUM(E65:AD65))</f>
        <v>103.55900000000001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>
        <f>IF(Meeuwen2!Y15=(""),(""),ROUND(Meeuwen2!Y15/Meeuwen2!$T15*10,3))</f>
        <v>7.2880000000000003</v>
      </c>
      <c r="W65" s="36">
        <f>IF(Meeuwen2!Z15=(""),(""),ROUND(Meeuwen2!Z15/Meeuwen2!$T15*10,3))</f>
        <v>8.6440000000000001</v>
      </c>
      <c r="X65" s="36">
        <f>IF(Meeuwen2!AA15=(""),(""),ROUND(Meeuwen2!AA15/Meeuwen2!$T15*10,3))</f>
        <v>5.4240000000000004</v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>
      <c r="A66" s="27">
        <f t="shared" si="34"/>
        <v>14</v>
      </c>
      <c r="B66" s="28" t="str">
        <f>Meeuwen2!A16</f>
        <v xml:space="preserve">Van Thillo Sis   </v>
      </c>
      <c r="C66" s="32">
        <f>IF(Meeuwen2!AL16=0," ",SUM(E66:AD66))</f>
        <v>131.566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>
        <f>IF(Meeuwen2!Y16=(""),(""),ROUND(Meeuwen2!Y16/Meeuwen2!$T16*10,3))</f>
        <v>9.0630000000000006</v>
      </c>
      <c r="W66" s="36">
        <f>IF(Meeuwen2!Z16=(""),(""),ROUND(Meeuwen2!Z16/Meeuwen2!$T16*10,3))</f>
        <v>8.125</v>
      </c>
      <c r="X66" s="36">
        <f>IF(Meeuwen2!AA16=(""),(""),ROUND(Meeuwen2!AA16/Meeuwen2!$T16*10,3))</f>
        <v>10.625</v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>
      <c r="A67" s="27"/>
      <c r="B67" s="28"/>
      <c r="C67" s="210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>
        <f t="shared" si="35"/>
        <v>62.230000000000004</v>
      </c>
      <c r="W67" s="36">
        <f t="shared" si="35"/>
        <v>59.696999999999996</v>
      </c>
      <c r="X67" s="36">
        <f t="shared" si="35"/>
        <v>50.621000000000002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49" customFormat="1" ht="15" customHeight="1">
      <c r="B68" s="148"/>
      <c r="C68" s="41">
        <f>SUM(C54:C66)</f>
        <v>1202.0970000000002</v>
      </c>
      <c r="D68" s="22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>
        <f t="shared" si="36"/>
        <v>1091.779</v>
      </c>
      <c r="W68" s="40">
        <f t="shared" si="36"/>
        <v>1151.4759999999999</v>
      </c>
      <c r="X68" s="40">
        <f>IF(X67=(" "),(" "),W68+X67)</f>
        <v>1202.097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/>
    <row r="70" spans="1:30" ht="15" customHeight="1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>
      <c r="A71" s="27">
        <f t="shared" ref="A71" si="37">IF(SUM(E71:AD71)=0,(" "),COUNTIF(E71:AD71,"&gt;0"))</f>
        <v>9</v>
      </c>
      <c r="B71" s="28" t="str">
        <f>Molenheike!A4</f>
        <v xml:space="preserve">Brauns Martin    </v>
      </c>
      <c r="C71" s="32">
        <f>IF(Molenheike!AL4=0," ",SUM(E71:AD71))</f>
        <v>77.367999999999995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>
        <f>IF(Molenheike!Z4=(""),(""),ROUND(Molenheike!Z4/Molenheike!$T4*10,3))</f>
        <v>9.2110000000000003</v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>
      <c r="A72" s="27">
        <f t="shared" ref="A72:A79" si="38">IF(SUM(E72:AD72)=0,(" "),COUNTIF(E72:AD72,"&gt;0"))</f>
        <v>14</v>
      </c>
      <c r="B72" s="28" t="str">
        <f>Molenheike!A5</f>
        <v>Brosens Luc</v>
      </c>
      <c r="C72" s="32">
        <f>IF(Molenheike!AL5=0," ",SUM(E72:AD72))</f>
        <v>133.27600000000001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>
        <f>IF(Molenheike!Y5=(""),(""),ROUND(Molenheike!Y5/Molenheike!$T5*10,3))</f>
        <v>4.4829999999999997</v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>
      <c r="A73" s="27">
        <f t="shared" si="38"/>
        <v>16</v>
      </c>
      <c r="B73" s="77" t="str">
        <f>Molenheike!A6</f>
        <v>Dhooghe Jan</v>
      </c>
      <c r="C73" s="32">
        <f>IF(Molenheike!AL6=0," ",SUM(E73:AD73))</f>
        <v>157.40800000000002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>
        <f>IF(Molenheike!Y6=(""),(""),ROUND(Molenheike!Y6/Molenheike!$T6*10,3))</f>
        <v>8.5190000000000001</v>
      </c>
      <c r="W73" s="36">
        <f>IF(Molenheike!Z6=(""),(""),ROUND(Molenheike!Z6/Molenheike!$T6*10,3))</f>
        <v>7.407</v>
      </c>
      <c r="X73" s="36">
        <f>IF(Molenheike!AA6=(""),(""),ROUND(Molenheike!AA6/Molenheike!$T6*10,3))</f>
        <v>10.37</v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>
      <c r="A74" s="27">
        <f t="shared" si="38"/>
        <v>16</v>
      </c>
      <c r="B74" s="28" t="str">
        <f>Molenheike!A7</f>
        <v>Keuppens Marc</v>
      </c>
      <c r="C74" s="32">
        <f>IF(Molenheike!AL7=0," ",SUM(E74:AD74))</f>
        <v>183.66800000000001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>
        <f>IF(Molenheike!Y7=(""),(""),ROUND(Molenheike!Y7/Molenheike!$T7*10,3))</f>
        <v>6.6669999999999998</v>
      </c>
      <c r="W74" s="36">
        <f>IF(Molenheike!Z7=(""),(""),ROUND(Molenheike!Z7/Molenheike!$T7*10,3))</f>
        <v>9.6669999999999998</v>
      </c>
      <c r="X74" s="36">
        <f>IF(Molenheike!AA7=(""),(""),ROUND(Molenheike!AA7/Molenheike!$T7*10,3))</f>
        <v>16</v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>
      <c r="A75" s="27">
        <f t="shared" si="38"/>
        <v>12</v>
      </c>
      <c r="B75" s="28" t="str">
        <f>Molenheike!A8</f>
        <v>Lambrechts Ferdy</v>
      </c>
      <c r="C75" s="32">
        <f>IF(Molenheike!AL8=0," ",SUM(E75:AD75))</f>
        <v>123.39699999999999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>
        <f>IF(Molenheike!Y8=(""),(""),ROUND(Molenheike!Y8/Molenheike!$T8*10,3))</f>
        <v>6.9809999999999999</v>
      </c>
      <c r="W75" s="36" t="str">
        <f>IF(Molenheike!Z8=(""),(""),ROUND(Molenheike!Z8/Molenheike!$T8*10,3))</f>
        <v/>
      </c>
      <c r="X75" s="36">
        <f>IF(Molenheike!AA8=(""),(""),ROUND(Molenheike!AA8/Molenheike!$T8*10,3))</f>
        <v>9.0570000000000004</v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>
      <c r="A76" s="27">
        <f t="shared" si="38"/>
        <v>12</v>
      </c>
      <c r="B76" s="28" t="str">
        <f>Molenheike!A9</f>
        <v>Nelen Marc</v>
      </c>
      <c r="C76" s="32">
        <f>IF(Molenheike!AL9=0," ",SUM(E76:AD76))</f>
        <v>115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>
        <f>IF(Molenheike!Y9=(""),(""),ROUND(Molenheike!Y9/Molenheike!$T9*10,3))</f>
        <v>13.75</v>
      </c>
      <c r="W76" s="36">
        <f>IF(Molenheike!Z9=(""),(""),ROUND(Molenheike!Z9/Molenheike!$T9*10,3))</f>
        <v>12.917</v>
      </c>
      <c r="X76" s="36">
        <f>IF(Molenheike!AA9=(""),(""),ROUND(Molenheike!AA9/Molenheike!$T9*10,3))</f>
        <v>10</v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>
      <c r="A78" s="27">
        <f t="shared" si="38"/>
        <v>18</v>
      </c>
      <c r="B78" s="28" t="str">
        <f>Molenheike!A11</f>
        <v>Van Ginderen Jef</v>
      </c>
      <c r="C78" s="32">
        <f>IF(Molenheike!AL11=0," ",SUM(E78:AD78))</f>
        <v>204.44500000000005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>
        <f>IF(Molenheike!Y11=(""),(""),ROUND(Molenheike!Y11/Molenheike!$T11*10,3))</f>
        <v>10.185</v>
      </c>
      <c r="W78" s="36">
        <f>IF(Molenheike!Z11=(""),(""),ROUND(Molenheike!Z11/Molenheike!$T11*10,3))</f>
        <v>5.556</v>
      </c>
      <c r="X78" s="36">
        <f>IF(Molenheike!AA11=(""),(""),ROUND(Molenheike!AA11/Molenheike!$T11*10,3))</f>
        <v>11.667</v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>
      <c r="A79" s="27">
        <f t="shared" si="38"/>
        <v>15</v>
      </c>
      <c r="B79" s="28" t="str">
        <f>Molenheike!A12</f>
        <v>Van Ginderen Willy</v>
      </c>
      <c r="C79" s="32">
        <f>IF(Molenheike!AL12=0," ",SUM(E79:AD79))</f>
        <v>145.13400000000001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>
        <f>IF(Molenheike!Z12=(""),(""),ROUND(Molenheike!Z12/Molenheike!$T12*10,3))</f>
        <v>8.3780000000000001</v>
      </c>
      <c r="X79" s="36">
        <f>IF(Molenheike!AA12=(""),(""),ROUND(Molenheike!AA12/Molenheike!$T12*10,3))</f>
        <v>11.622</v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>
      <c r="A80" s="37"/>
      <c r="B80" s="34"/>
      <c r="C80" s="209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>
        <f t="shared" si="39"/>
        <v>50.585000000000001</v>
      </c>
      <c r="W80" s="36">
        <f t="shared" si="39"/>
        <v>53.136000000000003</v>
      </c>
      <c r="X80" s="36">
        <f t="shared" si="39"/>
        <v>68.716000000000008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>
      <c r="A81" s="37"/>
      <c r="B81" s="38"/>
      <c r="C81" s="41">
        <f>SUM(C71:C79)</f>
        <v>1218.4459999999999</v>
      </c>
      <c r="D81" s="21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>
        <f t="shared" si="40"/>
        <v>1096.5940000000001</v>
      </c>
      <c r="W81" s="40">
        <f t="shared" ref="W81" si="41">IF(W80=(" "),(" "),V81+W80)</f>
        <v>1149.73</v>
      </c>
      <c r="X81" s="40">
        <f t="shared" ref="X81" si="42">IF(X80=(" "),(" "),W81+X80)</f>
        <v>1218.4459999999999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/>
    <row r="83" spans="1:30" ht="15" customHeight="1">
      <c r="B83" s="31" t="s">
        <v>27</v>
      </c>
      <c r="E83" s="27">
        <v>1</v>
      </c>
      <c r="F83" s="27">
        <v>2</v>
      </c>
      <c r="G83" s="27">
        <v>3</v>
      </c>
      <c r="H83" s="226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>
      <c r="A84" s="27">
        <f t="shared" ref="A84" si="44">IF(SUM(E84:AD84)=0,(" "),COUNTIF(E84:AD84,"&gt;0"))</f>
        <v>17</v>
      </c>
      <c r="B84" s="28" t="str">
        <f>Nispen!A4</f>
        <v>Bastiaensen Jan</v>
      </c>
      <c r="C84" s="32">
        <f>IF(Nispen!AL4=0," ",SUM(E84:AD84))</f>
        <v>172.90299999999999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28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>
        <f>IF(Nispen!Z4=(""),(""),ROUND(Nispen!Z4/Nispen!$T4*10,3))</f>
        <v>7.0970000000000004</v>
      </c>
      <c r="X84" s="36">
        <f>IF(Nispen!AA4=(""),(""),ROUND(Nispen!AA4/Nispen!$T4*10,3))</f>
        <v>10.968</v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>
      <c r="A85" s="27">
        <f t="shared" ref="A85:A93" si="45">IF(SUM(E85:AD85)=0,(" "),COUNTIF(E85:AD85,"&gt;0"))</f>
        <v>12</v>
      </c>
      <c r="B85" s="28" t="str">
        <f>Nispen!A5</f>
        <v>Botermans Jan</v>
      </c>
      <c r="C85" s="32">
        <f>IF(Nispen!AL5=0," ",SUM(E85:AD85))</f>
        <v>105.834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28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>
        <f>IF(Nispen!AA5=(""),(""),ROUND(Nispen!AA5/Nispen!$T5*10,3))</f>
        <v>11.25</v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>
      <c r="A86" s="27">
        <f t="shared" si="45"/>
        <v>19</v>
      </c>
      <c r="B86" s="28" t="str">
        <f>Nispen!A6</f>
        <v>Brouwers Vic</v>
      </c>
      <c r="C86" s="32">
        <f>IF(Nispen!AL6=0," ",SUM(E86:AD86))</f>
        <v>199.41099999999997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>
        <f>IF(Nispen!Y6=(""),(""),ROUND(Nispen!Y6/Nispen!$T6*10,3))</f>
        <v>8.5289999999999999</v>
      </c>
      <c r="W86" s="36">
        <f>IF(Nispen!Z6=(""),(""),ROUND(Nispen!Z6/Nispen!$T6*10,3))</f>
        <v>6.6180000000000003</v>
      </c>
      <c r="X86" s="36">
        <f>IF(Nispen!AA6=(""),(""),ROUND(Nispen!AA6/Nispen!$T6*10,3))</f>
        <v>11.471</v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>
      <c r="A87" s="27">
        <f t="shared" si="45"/>
        <v>12</v>
      </c>
      <c r="B87" s="77" t="str">
        <f>Nispen!A7</f>
        <v>Cappaert Ivan</v>
      </c>
      <c r="C87" s="32">
        <f>IF(Nispen!AL7=0," ",SUM(E87:AD87))</f>
        <v>106.571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>
        <f>IF(Nispen!Y7=(""),(""),ROUND(Nispen!Y7/Nispen!$T7*10,3))</f>
        <v>8.8569999999999993</v>
      </c>
      <c r="W87" s="36">
        <f>IF(Nispen!Z7=(""),(""),ROUND(Nispen!Z7/Nispen!$T7*10,3))</f>
        <v>4.2859999999999996</v>
      </c>
      <c r="X87" s="36">
        <f>IF(Nispen!AA7=(""),(""),ROUND(Nispen!AA7/Nispen!$T7*10,3))</f>
        <v>4.2859999999999996</v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>
      <c r="A88" s="27">
        <f t="shared" si="45"/>
        <v>12</v>
      </c>
      <c r="B88" s="28" t="str">
        <f>Nispen!A8</f>
        <v xml:space="preserve">Kerstens Jac     </v>
      </c>
      <c r="C88" s="32">
        <f>IF(Nispen!AL8=0," ",SUM(E88:AD88))</f>
        <v>115.142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28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28">
        <f>IF(Nispen!L8=(""),(""),ROUND(Nispen!L8/Nispen!$B8*10,3))</f>
        <v>12.856999999999999</v>
      </c>
      <c r="O88" s="228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>
        <f>IF(Nispen!Z8=(""),(""),ROUND(Nispen!Z8/Nispen!$T8*10,3))</f>
        <v>9.7140000000000004</v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>
      <c r="A89" s="27">
        <f t="shared" si="45"/>
        <v>8</v>
      </c>
      <c r="B89" s="38" t="str">
        <f>Nispen!A9</f>
        <v>Klijn Toon [NS 20]</v>
      </c>
      <c r="C89" s="32">
        <f>IF(Nispen!AL9=0," ",SUM(E89:AD89))</f>
        <v>70.5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24">
        <f>IF(Nispen!E9=(""),(""),ROUND(Nispen!E9/20*10,3))</f>
        <v>12</v>
      </c>
      <c r="H89" s="224">
        <f>IF(Nispen!F9=(""),(""),ROUND(Nispen!F9/20*10,3))</f>
        <v>11</v>
      </c>
      <c r="I89" s="36" t="str">
        <f>IF(Nispen!G9=(""),(""),ROUND(Nispen!G9/Nispen!$B9*10,3))</f>
        <v/>
      </c>
      <c r="J89" s="224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>
        <f>IF(Nispen!Y9=(""),(""),ROUND(Nispen!Y9/Nispen!$T9*10,3))</f>
        <v>12</v>
      </c>
      <c r="W89" s="36" t="str">
        <f>IF(Nispen!Z9=(""),(""),ROUND(Nispen!Z9/Nispen!$T9*10,3))</f>
        <v/>
      </c>
      <c r="X89" s="36">
        <f>IF(Nispen!AA9=(""),(""),ROUND(Nispen!AA9/Nispen!$T9*10,3))</f>
        <v>7.5</v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>
      <c r="A90" s="27">
        <f t="shared" si="45"/>
        <v>13</v>
      </c>
      <c r="B90" s="34" t="str">
        <f>Nispen!A10</f>
        <v>Martens Gerrit [OS]</v>
      </c>
      <c r="C90" s="32">
        <f>IF(Nispen!AL10=0," ",SUM(E90:AD90))</f>
        <v>129.33199999999999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28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>
        <f>IF(Nispen!Y10=(""),(""),ROUND(Nispen!Y10/Nispen!$T10*10,3))</f>
        <v>6</v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>
      <c r="A91" s="27">
        <f t="shared" si="45"/>
        <v>4</v>
      </c>
      <c r="B91" s="28" t="str">
        <f>Nispen!A11</f>
        <v>Mens Jos</v>
      </c>
      <c r="C91" s="32">
        <f>IF(Nispen!AL11=0," ",SUM(E91:AD91))</f>
        <v>46.190999999999995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>
        <f>IF(Nispen!Y11=(""),(""),ROUND(Nispen!Y11/Nispen!$T11*10,3))</f>
        <v>11.429</v>
      </c>
      <c r="W91" s="36" t="str">
        <f>IF(Nispen!Z11=(""),(""),ROUND(Nispen!Z11/Nispen!$T11*10,3))</f>
        <v/>
      </c>
      <c r="X91" s="36">
        <f>IF(Nispen!AA11=(""),(""),ROUND(Nispen!AA11/Nispen!$T11*10,3))</f>
        <v>15.714</v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>
      <c r="A92" s="27">
        <f t="shared" si="45"/>
        <v>10</v>
      </c>
      <c r="B92" s="28" t="str">
        <f>Nispen!A12</f>
        <v xml:space="preserve">Raats Antoon </v>
      </c>
      <c r="C92" s="32">
        <f>IF(Nispen!AL12=0," ",SUM(E92:AD92))</f>
        <v>94.737999999999985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>
        <f>IF(Nispen!Y12=(""),(""),ROUND(Nispen!Y12/Nispen!$T12*10,3))</f>
        <v>8.4209999999999994</v>
      </c>
      <c r="W92" s="36">
        <f>IF(Nispen!Z12=(""),(""),ROUND(Nispen!Z12/Nispen!$T12*10,3))</f>
        <v>13.157999999999999</v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>
      <c r="A93" s="27">
        <f t="shared" si="45"/>
        <v>13</v>
      </c>
      <c r="B93" s="28" t="str">
        <f>Nispen!A13</f>
        <v>Uijdehaag Nico</v>
      </c>
      <c r="C93" s="32">
        <f>IF(Nispen!AL13=0," ",SUM(E93:AD93))</f>
        <v>133.91400000000002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28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>
        <f>IF(Nispen!Z13=(""),(""),ROUND(Nispen!Z13/Nispen!$T13*10,3))</f>
        <v>10.435</v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>
      <c r="C94" s="209" t="s">
        <v>289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>
        <f t="shared" si="47"/>
        <v>55.235999999999997</v>
      </c>
      <c r="W94" s="36">
        <f t="shared" si="47"/>
        <v>51.308</v>
      </c>
      <c r="X94" s="36">
        <f t="shared" si="47"/>
        <v>61.189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>
      <c r="A95" s="37"/>
      <c r="B95" s="38"/>
      <c r="C95" s="41">
        <f>SUM(C84:C93)</f>
        <v>1174.5359999999998</v>
      </c>
      <c r="D95" s="209" t="s">
        <v>289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>
        <f t="shared" ref="V95" si="62">IF(V94=(" "),(" "),U95+V94)</f>
        <v>1062.039</v>
      </c>
      <c r="W95" s="40">
        <f t="shared" ref="W95" si="63">IF(W94=(" "),(" "),V95+W94)</f>
        <v>1113.347</v>
      </c>
      <c r="X95" s="40">
        <f t="shared" ref="X95" si="64">IF(X94=(" "),(" "),W95+X94)</f>
        <v>1174.5360000000001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/>
    <row r="97" spans="1:30" ht="15" customHeight="1">
      <c r="B97" s="110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>
      <c r="A99" s="27">
        <f t="shared" ref="A99:A111" si="72">IF(SUM(E99:AD99)=0,(" "),COUNTIF(E99:AD99,"&gt;0"))</f>
        <v>7</v>
      </c>
      <c r="B99" s="28" t="str">
        <f>Oudeglorie!A5</f>
        <v xml:space="preserve">Beyers Jos    </v>
      </c>
      <c r="C99" s="32">
        <f>IF(Oudeglorie!AL5=0," ",SUM(E99:AD99))</f>
        <v>71.481999999999999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>
        <f>IF(Oudeglorie!Y5=(""),(""),ROUND(Oudeglorie!Y5/Oudeglorie!$T5*10,3))</f>
        <v>8.8889999999999993</v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>
      <c r="A100" s="27">
        <f t="shared" si="72"/>
        <v>4</v>
      </c>
      <c r="B100" s="77" t="str">
        <f>Oudeglorie!A6</f>
        <v>Beyers Roger</v>
      </c>
      <c r="C100" s="32">
        <f>IF(Oudeglorie!AL6=0," ",SUM(E100:AD100))</f>
        <v>31.015000000000004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>
        <f>IF(Oudeglorie!AA6=(""),(""),ROUND(Oudeglorie!AA6/Oudeglorie!$T6*10,3))</f>
        <v>4.2030000000000003</v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28">
        <f>IF(Oudeglorie!W7=(""),(""),ROUND(Oudeglorie!W7/Oudeglorie!$T7*10,3))</f>
        <v>11.724</v>
      </c>
      <c r="U101" s="228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>
      <c r="A102" s="27">
        <f t="shared" si="72"/>
        <v>5</v>
      </c>
      <c r="B102" s="28" t="str">
        <f>Oudeglorie!A8</f>
        <v>Cleeren Guido</v>
      </c>
      <c r="C102" s="32">
        <f>IF(Oudeglorie!AL8=0," ",SUM(E102:AD102))</f>
        <v>41.765000000000001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>
        <f>IF(Oudeglorie!Z8=(""),(""),ROUND(Oudeglorie!Z8/Oudeglorie!$T8*10,3))</f>
        <v>6.4710000000000001</v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>
      <c r="A103" s="27">
        <f t="shared" si="72"/>
        <v>11</v>
      </c>
      <c r="B103" s="28" t="str">
        <f>Oudeglorie!A9</f>
        <v>Gommers Jac</v>
      </c>
      <c r="C103" s="32">
        <f>IF(Oudeglorie!AL9=0," ",SUM(E103:AD103))</f>
        <v>106.66800000000001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>
        <f>IF(Oudeglorie!Z9=(""),(""),ROUND(Oudeglorie!Z9/Oudeglorie!$T9*10,3))</f>
        <v>10</v>
      </c>
      <c r="X103" s="36">
        <f>IF(Oudeglorie!AA9=(""),(""),ROUND(Oudeglorie!AA9/Oudeglorie!$T9*10,3))</f>
        <v>16.667000000000002</v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>
      <c r="A104" s="27">
        <f t="shared" si="72"/>
        <v>9</v>
      </c>
      <c r="B104" s="28" t="str">
        <f>Oudeglorie!A10</f>
        <v>Jacobs Alfons</v>
      </c>
      <c r="C104" s="32">
        <f>IF(Oudeglorie!AL10=0," ",SUM(E104:AD104))</f>
        <v>69.643000000000001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28">
        <f>IF(Oudeglorie!X10=(""),(""),ROUND(Oudeglorie!X10/Oudeglorie!$T10*10,3))</f>
        <v>9.2859999999999996</v>
      </c>
      <c r="V104" s="36">
        <f>IF(Oudeglorie!Y10=(""),(""),ROUND(Oudeglorie!Y10/Oudeglorie!$T10*10,3))</f>
        <v>7.1429999999999998</v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>
      <c r="A105" s="27">
        <f t="shared" si="72"/>
        <v>10</v>
      </c>
      <c r="B105" s="28" t="str">
        <f>Oudeglorie!A11</f>
        <v>Jacobs Frans</v>
      </c>
      <c r="C105" s="32">
        <f>IF(Oudeglorie!AL11=0," ",SUM(E105:AD105))</f>
        <v>89.030000000000015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>
        <f>IF(Oudeglorie!Y11=(""),(""),ROUND(Oudeglorie!Y11/Oudeglorie!$T11*10,3))</f>
        <v>6.9349999999999996</v>
      </c>
      <c r="W105" s="36">
        <f>IF(Oudeglorie!Z11=(""),(""),ROUND(Oudeglorie!Z11/Oudeglorie!$T11*10,3))</f>
        <v>7.9029999999999996</v>
      </c>
      <c r="X105" s="36">
        <f>IF(Oudeglorie!AA11=(""),(""),ROUND(Oudeglorie!AA11/Oudeglorie!$T11*10,3))</f>
        <v>6.9349999999999996</v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>
      <c r="A106" s="27">
        <f t="shared" si="72"/>
        <v>10</v>
      </c>
      <c r="B106" s="28" t="str">
        <f>Oudeglorie!A12</f>
        <v>Nelen Frans</v>
      </c>
      <c r="C106" s="32">
        <f>IF(Oudeglorie!AL12=0," ",SUM(E106:AD106))</f>
        <v>122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28">
        <f>IF(Oudeglorie!X12=(""),(""),ROUND(Oudeglorie!X12/Oudeglorie!$T12*10,3))</f>
        <v>16.8</v>
      </c>
      <c r="V106" s="36">
        <f>IF(Oudeglorie!Y12=(""),(""),ROUND(Oudeglorie!Y12/Oudeglorie!$T12*10,3))</f>
        <v>9.1999999999999993</v>
      </c>
      <c r="W106" s="36">
        <f>IF(Oudeglorie!Z12=(""),(""),ROUND(Oudeglorie!Z12/Oudeglorie!$T12*10,3))</f>
        <v>14.8</v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24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24">
        <f>IF(Oudeglorie!J13=(""),(""),ROUND(Oudeglorie!J13/25*10,3))</f>
        <v>8</v>
      </c>
      <c r="M107" s="224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28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>
      <c r="A108" s="27">
        <f t="shared" si="72"/>
        <v>11</v>
      </c>
      <c r="B108" s="28" t="str">
        <f>Oudeglorie!A14</f>
        <v xml:space="preserve">Somers Ludo </v>
      </c>
      <c r="C108" s="32">
        <f>IF(Oudeglorie!AL14=0," ",SUM(E108:AD108))</f>
        <v>93.822999999999993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28">
        <f>IF(Oudeglorie!X14=(""),(""),ROUND(Oudeglorie!X14/Oudeglorie!$T14*10,3))</f>
        <v>8.5289999999999999</v>
      </c>
      <c r="V108" s="36">
        <f>IF(Oudeglorie!Y14=(""),(""),ROUND(Oudeglorie!Y14/Oudeglorie!$T14*10,3))</f>
        <v>11.176</v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>
      <c r="A109" s="27">
        <f t="shared" si="72"/>
        <v>12</v>
      </c>
      <c r="B109" s="28" t="str">
        <f>Oudeglorie!A15</f>
        <v xml:space="preserve">Van Ginderen Ludo </v>
      </c>
      <c r="C109" s="32">
        <f>IF(Oudeglorie!AL15=0," ",SUM(E109:AD109))</f>
        <v>123.529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>
        <f>IF(Oudeglorie!Y15=(""),(""),ROUND(Oudeglorie!Y15/Oudeglorie!$T15*10,3))</f>
        <v>8.8239999999999998</v>
      </c>
      <c r="W109" s="36">
        <f>IF(Oudeglorie!Z15=(""),(""),ROUND(Oudeglorie!Z15/Oudeglorie!$T15*10,3))</f>
        <v>7.0590000000000002</v>
      </c>
      <c r="X109" s="36">
        <f>IF(Oudeglorie!AA15=(""),(""),ROUND(Oudeglorie!AA15/Oudeglorie!$T15*10,3))</f>
        <v>12.941000000000001</v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>
      <c r="A110" s="27">
        <f t="shared" si="72"/>
        <v>6</v>
      </c>
      <c r="B110" s="28" t="str">
        <f>Oudeglorie!A16</f>
        <v>Van Overvelt Ludo</v>
      </c>
      <c r="C110" s="32">
        <f>IF(Oudeglorie!AL16=0," ",SUM(E110:AD110))</f>
        <v>55.813999999999993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>
        <f>IF(Oudeglorie!Z16=(""),(""),ROUND(Oudeglorie!Z16/Oudeglorie!$T16*10,3))</f>
        <v>13.023</v>
      </c>
      <c r="X110" s="36">
        <f>IF(Oudeglorie!AA16=(""),(""),ROUND(Oudeglorie!AA16/Oudeglorie!$T16*10,3))</f>
        <v>8.14</v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>
      <c r="A111" s="27">
        <f t="shared" si="72"/>
        <v>9</v>
      </c>
      <c r="B111" s="28" t="str">
        <f>Oudeglorie!A17</f>
        <v>Willemsen Willy</v>
      </c>
      <c r="C111" s="32">
        <f>IF(Oudeglorie!AL17=0," ",SUM(E111:AD111))</f>
        <v>100.81100000000001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>
        <f>IF(Oudeglorie!AA17=(""),(""),ROUND(Oudeglorie!AA17/Oudeglorie!$T17*10,3))</f>
        <v>7.0270000000000001</v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>
      <c r="C112" s="209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>
        <f t="shared" si="73"/>
        <v>52.167000000000002</v>
      </c>
      <c r="W112" s="36">
        <f t="shared" si="73"/>
        <v>59.256</v>
      </c>
      <c r="X112" s="36">
        <f t="shared" si="73"/>
        <v>55.913000000000004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>
      <c r="A113" s="37"/>
      <c r="B113" s="38"/>
      <c r="C113" s="41">
        <f>SUM(C98:C111)</f>
        <v>1187.1039999999998</v>
      </c>
      <c r="D113" s="21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>
        <f t="shared" si="75"/>
        <v>1071.9349999999999</v>
      </c>
      <c r="W113" s="40">
        <f t="shared" si="75"/>
        <v>1131.191</v>
      </c>
      <c r="X113" s="40">
        <f t="shared" si="75"/>
        <v>1187.104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/>
    <row r="115" spans="1:30" ht="15" customHeight="1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>
      <c r="A116" s="27">
        <f t="shared" ref="A116:A127" si="76">IF(SUM(E116:AD116)=0,(" "),COUNTIF(E116:AD116,"&gt;0"))</f>
        <v>9</v>
      </c>
      <c r="B116" s="28" t="str">
        <f>Meeuwkes!A4</f>
        <v>Bove René</v>
      </c>
      <c r="C116" s="32">
        <f>IF(Meeuwkes!AL4=0," ",SUM(E116:AD116))</f>
        <v>111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>
        <f>IF(Meeuwkes!Y4=(""),(""),ROUND(Meeuwkes!Y4/Meeuwkes!$T4*10,3))</f>
        <v>12</v>
      </c>
      <c r="W116" s="36">
        <f>IF(Meeuwkes!Z4=(""),(""),ROUND(Meeuwkes!Z4/Meeuwkes!$T4*10,3))</f>
        <v>8.5</v>
      </c>
      <c r="X116" s="36">
        <f>IF(Meeuwkes!AA4=(""),(""),ROUND(Meeuwkes!AA4/Meeuwkes!$T4*10,3))</f>
        <v>8.5</v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>
      <c r="A117" s="27">
        <f t="shared" si="76"/>
        <v>9</v>
      </c>
      <c r="B117" s="28" t="str">
        <f>Meeuwkes!A5</f>
        <v>Buggenhout Danny</v>
      </c>
      <c r="C117" s="32">
        <f>IF(Meeuwkes!AL5=0," ",SUM(E117:AD117))</f>
        <v>77.317999999999984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>
        <f>IF(Meeuwkes!AA5=(""),(""),ROUND(Meeuwkes!AA5/Meeuwkes!$T5*10,3))</f>
        <v>7.5609999999999999</v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>
      <c r="A118" s="27">
        <f t="shared" si="76"/>
        <v>7</v>
      </c>
      <c r="B118" s="28" t="str">
        <f>Meeuwkes!A6</f>
        <v>Deckx Achiel</v>
      </c>
      <c r="C118" s="32">
        <f>IF(Meeuwkes!AL6=0," ",SUM(E118:AD118))</f>
        <v>70.262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>
        <f>IF(Meeuwkes!AA6=(""),(""),ROUND(Meeuwkes!AA6/Meeuwkes!$T6*10,3))</f>
        <v>5.7889999999999997</v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>
      <c r="A119" s="27">
        <f t="shared" si="76"/>
        <v>16</v>
      </c>
      <c r="B119" s="28" t="str">
        <f>Meeuwkes!A7</f>
        <v>Herreygers Leon</v>
      </c>
      <c r="C119" s="32">
        <f>IF(Meeuwkes!AL7=0," ",SUM(E119:AD119))</f>
        <v>178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>
        <f>IF(Meeuwkes!Z7=(""),(""),ROUND(Meeuwkes!Z7/Meeuwkes!$T7*10,3))</f>
        <v>7.6</v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>
      <c r="A120" s="27">
        <f>IF(SUM(E120:AD120)=0,(" "),COUNTIF(E120:AD120,"&gt;0"))+1</f>
        <v>12</v>
      </c>
      <c r="B120" s="28" t="str">
        <f>Meeuwkes!A8</f>
        <v>Loos Piet</v>
      </c>
      <c r="C120" s="32">
        <f>IF(Meeuwkes!AL8=0," ",SUM(E120:AD120))</f>
        <v>99.334000000000003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>
        <f>IF(Meeuwkes!Y8=(""),(""),ROUND(Meeuwkes!Y8/Meeuwkes!$T8*10,3))</f>
        <v>12</v>
      </c>
      <c r="W120" s="36">
        <f>IF(Meeuwkes!Z8=(""),(""),ROUND(Meeuwkes!Z8/Meeuwkes!$T8*10,3))</f>
        <v>14</v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>
      <c r="A121" s="27">
        <f t="shared" si="76"/>
        <v>12</v>
      </c>
      <c r="B121" s="77" t="str">
        <f>Meeuwkes!A9</f>
        <v xml:space="preserve">Quick Louis </v>
      </c>
      <c r="C121" s="32">
        <f>IF(Meeuwkes!AL9=0," ",SUM(E121:AD121))</f>
        <v>135.642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>
        <f>IF(Meeuwkes!Y9=(""),(""),ROUND(Meeuwkes!Y9/Meeuwkes!$T9*10,3))</f>
        <v>15.897</v>
      </c>
      <c r="W121" s="36" t="str">
        <f>IF(Meeuwkes!Z9=(""),(""),ROUND(Meeuwkes!Z9/Meeuwkes!$T9*10,3))</f>
        <v/>
      </c>
      <c r="X121" s="36">
        <f>IF(Meeuwkes!AA9=(""),(""),ROUND(Meeuwkes!AA9/Meeuwkes!$T9*10,3))</f>
        <v>11.538</v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>
      <c r="A122" s="27">
        <f t="shared" si="76"/>
        <v>9</v>
      </c>
      <c r="B122" s="28" t="str">
        <f>Meeuwkes!A10</f>
        <v>Reyssens Martin</v>
      </c>
      <c r="C122" s="32">
        <f>IF(Meeuwkes!AL10=0," ",SUM(E122:AD122))</f>
        <v>87.391999999999996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>
        <f>IF(Meeuwkes!AA10=(""),(""),ROUND(Meeuwkes!AA10/Meeuwkes!$T10*10,3))</f>
        <v>8.6959999999999997</v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>
      <c r="A123" s="27">
        <f t="shared" si="76"/>
        <v>11</v>
      </c>
      <c r="B123" s="28" t="str">
        <f>Meeuwkes!A11</f>
        <v xml:space="preserve">Schenk André </v>
      </c>
      <c r="C123" s="32">
        <f>IF(Meeuwkes!AL11=0," ",SUM(E123:AD123))</f>
        <v>130.31399999999999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>
        <f>IF(Meeuwkes!Y11=(""),(""),ROUND(Meeuwkes!Y11/Meeuwkes!$T11*10,3))</f>
        <v>12.813000000000001</v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>
      <c r="A124" s="27">
        <f t="shared" si="76"/>
        <v>6</v>
      </c>
      <c r="B124" s="28" t="str">
        <f>Meeuwkes!A12</f>
        <v>Van Doren Hugo</v>
      </c>
      <c r="C124" s="32">
        <f>IF(Meeuwkes!AL12=0," ",SUM(E124:AD124))</f>
        <v>48.867000000000004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>
        <f>IF(Meeuwkes!Y12=(""),(""),ROUND(Meeuwkes!Y12/Meeuwkes!$T12*10,3))</f>
        <v>10</v>
      </c>
      <c r="W124" s="36">
        <f>IF(Meeuwkes!Z12=(""),(""),ROUND(Meeuwkes!Z12/Meeuwkes!$T12*10,3))</f>
        <v>8.1129999999999995</v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>
      <c r="A125" s="27">
        <f t="shared" si="76"/>
        <v>12</v>
      </c>
      <c r="B125" s="28" t="str">
        <f>Meeuwkes!A13</f>
        <v xml:space="preserve">De Roomer Jan    </v>
      </c>
      <c r="C125" s="32">
        <f>IF(Meeuwkes!AL13=0," ",SUM(E125:AD125))</f>
        <v>129.63200000000001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>
        <f>IF(Meeuwkes!Z13=(""),(""),ROUND(Meeuwkes!Z13/Meeuwkes!$T13*10,3))</f>
        <v>17.036999999999999</v>
      </c>
      <c r="X125" s="36">
        <f>IF(Meeuwkes!AA13=(""),(""),ROUND(Meeuwkes!AA13/Meeuwkes!$T13*10,3))</f>
        <v>19.259</v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>
      <c r="A127" s="27">
        <f t="shared" si="76"/>
        <v>11</v>
      </c>
      <c r="B127" s="28" t="str">
        <f>Meeuwkes!A15</f>
        <v xml:space="preserve">Schenk Stanny  </v>
      </c>
      <c r="C127" s="32">
        <f>IF(Meeuwkes!AL15=0," ",SUM(E127:AD127))</f>
        <v>99.375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>
        <f>IF(Meeuwkes!Y15=(""),(""),ROUND(Meeuwkes!Y15/Meeuwkes!$T15*10,3))</f>
        <v>8.75</v>
      </c>
      <c r="W127" s="36">
        <f>IF(Meeuwkes!Z15=(""),(""),ROUND(Meeuwkes!Z15/Meeuwkes!$T15*10,3))</f>
        <v>8.125</v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>
      <c r="C128" s="209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>
        <f t="shared" si="78"/>
        <v>71.460000000000008</v>
      </c>
      <c r="W128" s="36">
        <f t="shared" si="78"/>
        <v>63.375</v>
      </c>
      <c r="X128" s="36">
        <f t="shared" si="78"/>
        <v>61.343000000000004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>
      <c r="A129" s="37"/>
      <c r="B129" s="38"/>
      <c r="C129" s="41">
        <f>SUM(C114:C127)</f>
        <v>1213.136</v>
      </c>
      <c r="D129" s="209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>
        <f t="shared" ref="V129" si="95">IF(V128=(" "),(" "),U129+V128)</f>
        <v>1088.4179999999999</v>
      </c>
      <c r="W129" s="40">
        <f t="shared" ref="W129" si="96">IF(W128=(" "),(" "),V129+W128)</f>
        <v>1151.7929999999999</v>
      </c>
      <c r="X129" s="40">
        <f t="shared" ref="X129" si="97">IF(X128=(" "),(" "),W129+X128)</f>
        <v>1213.136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/>
    <row r="131" spans="1:31" ht="15" customHeight="1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26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>
      <c r="A132" s="27">
        <f t="shared" ref="A132:A141" si="104">IF(SUM(E132:AD132)=0,(" "),COUNTIF(E132:AD132,"&gt;0"))</f>
        <v>15</v>
      </c>
      <c r="B132" s="28" t="str">
        <f>Rooiebal1!A4</f>
        <v>Aerts Jan</v>
      </c>
      <c r="C132" s="32">
        <f>IF(Rooiebal1!AL4=0," ",SUM(E132:AD132))</f>
        <v>167.36999999999998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>
        <f>IF(Rooiebal1!Y4=(""),(""),ROUND(Rooiebal1!Y4/Rooiebal1!$T4*10,3))</f>
        <v>12.105</v>
      </c>
      <c r="W132" s="36">
        <f>IF(Rooiebal1!Z4=(""),(""),ROUND(Rooiebal1!Z4/Rooiebal1!$T4*10,3))</f>
        <v>12.632</v>
      </c>
      <c r="X132" s="36">
        <f>IF(Rooiebal1!AA4=(""),(""),ROUND(Rooiebal1!AA4/Rooiebal1!$T4*10,3))</f>
        <v>4.7370000000000001</v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>
      <c r="A133" s="27">
        <f t="shared" si="104"/>
        <v>14</v>
      </c>
      <c r="B133" s="28" t="str">
        <f>Rooiebal1!A5</f>
        <v xml:space="preserve">Dictus Peter       </v>
      </c>
      <c r="C133" s="32">
        <f>IF(Rooiebal1!AL5=0," ",SUM(E133:AD133))</f>
        <v>113.88799999999999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>
        <f>IF(Rooiebal1!AA5=(""),(""),ROUND(Rooiebal1!AA5/Rooiebal1!$T5*10,3))</f>
        <v>3.3330000000000002</v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>
      <c r="A134" s="27">
        <f t="shared" si="104"/>
        <v>11</v>
      </c>
      <c r="B134" s="77" t="str">
        <f>Rooiebal1!A6</f>
        <v xml:space="preserve">Hereygers Cis     </v>
      </c>
      <c r="C134" s="32">
        <f>IF(Rooiebal1!AL6=0," ",SUM(E134:AD134))</f>
        <v>95.734999999999999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>
        <f>IF(Rooiebal1!Y6=(""),(""),ROUND(Rooiebal1!Y6/Rooiebal1!$T6*10,3))</f>
        <v>7.0590000000000002</v>
      </c>
      <c r="W134" s="36">
        <f>IF(Rooiebal1!Z6=(""),(""),ROUND(Rooiebal1!Z6/Rooiebal1!$T6*10,3))</f>
        <v>7.2060000000000004</v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>
      <c r="A135" s="27">
        <f t="shared" si="104"/>
        <v>10</v>
      </c>
      <c r="B135" s="28" t="str">
        <f>Rooiebal1!A7</f>
        <v xml:space="preserve">Karremans Dries  </v>
      </c>
      <c r="C135" s="32">
        <f>IF(Rooiebal1!AL7=0," ",SUM(E135:AD135))</f>
        <v>103.333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>
        <f>IF(Rooiebal1!Y7=(""),(""),ROUND(Rooiebal1!Y7/Rooiebal1!$T7*10,3))</f>
        <v>10.417</v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>
      <c r="A136" s="27">
        <f t="shared" si="104"/>
        <v>12</v>
      </c>
      <c r="B136" s="28" t="str">
        <f>Rooiebal1!A8</f>
        <v xml:space="preserve">Nelen Ronny       </v>
      </c>
      <c r="C136" s="32">
        <f>IF(Rooiebal1!AL8=0," ",SUM(E136:AD136))</f>
        <v>122.72699999999999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>
        <f>IF(Rooiebal1!Y8=(""),(""),ROUND(Rooiebal1!Y8/Rooiebal1!$T8*10,3))</f>
        <v>13.333</v>
      </c>
      <c r="W136" s="36">
        <f>IF(Rooiebal1!Z8=(""),(""),ROUND(Rooiebal1!Z8/Rooiebal1!$T8*10,3))</f>
        <v>13.939</v>
      </c>
      <c r="X136" s="36">
        <f>IF(Rooiebal1!AA8=(""),(""),ROUND(Rooiebal1!AA8/Rooiebal1!$T8*10,3))</f>
        <v>9.0909999999999993</v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>
      <c r="A137" s="27">
        <f t="shared" si="104"/>
        <v>13</v>
      </c>
      <c r="B137" s="28" t="str">
        <f>Rooiebal1!A9</f>
        <v>Raeymakers Lilianne</v>
      </c>
      <c r="C137" s="32">
        <f>IF(Rooiebal1!AL9=0," ",SUM(E137:AD137))</f>
        <v>125.24000000000001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>
        <f>IF(Rooiebal1!AA9=(""),(""),ROUND(Rooiebal1!AA9/Rooiebal1!$T9*10,3))</f>
        <v>6.6669999999999998</v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46"/>
    </row>
    <row r="139" spans="1:31" ht="15" customHeight="1">
      <c r="A139" s="27">
        <f t="shared" si="104"/>
        <v>13</v>
      </c>
      <c r="B139" s="78" t="str">
        <f>Rooiebal1!A11</f>
        <v>Van Hooydonck René</v>
      </c>
      <c r="C139" s="32">
        <f>IF(Rooiebal1!AL11=0," ",SUM(E139:AD139))</f>
        <v>114.444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>
        <f>IF(Rooiebal1!Y11=(""),(""),ROUND(Rooiebal1!Y11/Rooiebal1!$T11*10,3))</f>
        <v>11.481</v>
      </c>
      <c r="W139" s="36">
        <f>IF(Rooiebal1!Z11=(""),(""),ROUND(Rooiebal1!Z11/Rooiebal1!$T11*10,3))</f>
        <v>10.37</v>
      </c>
      <c r="X139" s="36">
        <f>IF(Rooiebal1!AA11=(""),(""),ROUND(Rooiebal1!AA11/Rooiebal1!$T11*10,3))</f>
        <v>9.2590000000000003</v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>
      <c r="A140" s="27">
        <f t="shared" si="104"/>
        <v>17</v>
      </c>
      <c r="B140" s="78" t="str">
        <f>Rooiebal1!A12</f>
        <v>Van Oers Theo</v>
      </c>
      <c r="C140" s="32">
        <f>IF(Rooiebal1!AL12=0," ",SUM(E140:AD140))</f>
        <v>157.35300000000001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>
        <f>IF(Rooiebal1!Y12=(""),(""),ROUND(Rooiebal1!Y12/Rooiebal1!$T12*10,3))</f>
        <v>17.353000000000002</v>
      </c>
      <c r="W140" s="36">
        <f>IF(Rooiebal1!Z12=(""),(""),ROUND(Rooiebal1!Z12/Rooiebal1!$T12*10,3))</f>
        <v>8.5289999999999999</v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>
      <c r="A141" s="27">
        <f t="shared" si="104"/>
        <v>13</v>
      </c>
      <c r="B141" s="28" t="str">
        <f>Rooiebal1!A13</f>
        <v>Vergouwen Willy</v>
      </c>
      <c r="C141" s="32">
        <f>IF(Rooiebal1!AL13=0," ",SUM(E141:AD141))</f>
        <v>107.429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>
        <f>IF(Rooiebal1!Z13=(""),(""),ROUND(Rooiebal1!Z13/Rooiebal1!$T13*10,3))</f>
        <v>12.571</v>
      </c>
      <c r="X141" s="36">
        <f>IF(Rooiebal1!AA13=(""),(""),ROUND(Rooiebal1!AA13/Rooiebal1!$T13*10,3))</f>
        <v>8</v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>
      <c r="C142" s="209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>
        <f t="shared" si="105"/>
        <v>71.748000000000005</v>
      </c>
      <c r="W142" s="36">
        <f t="shared" si="105"/>
        <v>65.247</v>
      </c>
      <c r="X142" s="36">
        <f t="shared" si="105"/>
        <v>41.087000000000003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>
      <c r="A143" s="37"/>
      <c r="B143" s="38"/>
      <c r="C143" s="41">
        <f>SUM(C132:C141)</f>
        <v>1136.2140000000002</v>
      </c>
      <c r="D143" s="21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>
        <f t="shared" ref="V143" si="122">IF(V142=(" "),(" "),U143+V142)</f>
        <v>1029.8800000000001</v>
      </c>
      <c r="W143" s="40">
        <f t="shared" ref="W143" si="123">IF(W142=(" "),(" "),V143+W142)</f>
        <v>1095.1270000000002</v>
      </c>
      <c r="X143" s="40">
        <f t="shared" ref="X143" si="124">IF(X142=(" "),(" "),W143+X142)</f>
        <v>1136.2140000000002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26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>
      <c r="A146" s="27">
        <f t="shared" ref="A146:A156" si="131">IF(SUM(E146:AD146)=0,(" "),COUNTIF(E146:AD146,"&gt;0"))</f>
        <v>9</v>
      </c>
      <c r="B146" s="123" t="str">
        <f>Rooiebal2!A4</f>
        <v xml:space="preserve">Costermans Leo   </v>
      </c>
      <c r="C146" s="32">
        <f>IF(Rooiebal2!AL4=0," ",SUM(E146:AD146))</f>
        <v>85.332999999999998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>
        <f>IF(Rooiebal2!Y4=(""),(""),ROUND(Rooiebal2!Y4/Rooiebal2!$T4*10,3))</f>
        <v>11.333</v>
      </c>
      <c r="W146" s="36" t="str">
        <f>IF(Rooiebal2!Z4=(""),(""),ROUND(Rooiebal2!Z4/Rooiebal2!$T4*10,3))</f>
        <v/>
      </c>
      <c r="X146" s="36">
        <f>IF(Rooiebal2!AA4=(""),(""),ROUND(Rooiebal2!AA4/Rooiebal2!$T4*10,3))</f>
        <v>5.3330000000000002</v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>
      <c r="A147" s="27">
        <f t="shared" si="131"/>
        <v>12</v>
      </c>
      <c r="B147" s="123" t="str">
        <f>Rooiebal2!A5</f>
        <v>Dictus Fred</v>
      </c>
      <c r="C147" s="32">
        <f>IF(Rooiebal2!AL5=0," ",SUM(E147:AD147))</f>
        <v>120.51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>
        <f>IF(Rooiebal2!Y5=(""),(""),ROUND(Rooiebal2!Y5/Rooiebal2!$T5*10,3))</f>
        <v>8.1359999999999992</v>
      </c>
      <c r="W147" s="36">
        <f>IF(Rooiebal2!Z5=(""),(""),ROUND(Rooiebal2!Z5/Rooiebal2!$T5*10,3))</f>
        <v>16.440999999999999</v>
      </c>
      <c r="X147" s="36">
        <f>IF(Rooiebal2!AA5=(""),(""),ROUND(Rooiebal2!AA5/Rooiebal2!$T5*10,3))</f>
        <v>8.1359999999999992</v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>
      <c r="A148" s="27">
        <f t="shared" si="131"/>
        <v>15</v>
      </c>
      <c r="B148" s="123" t="str">
        <f>Rooiebal2!A6</f>
        <v xml:space="preserve">Donckers Johnny </v>
      </c>
      <c r="C148" s="32">
        <f>IF(Rooiebal2!AL6=0," ",SUM(E148:AD148))</f>
        <v>186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>
        <f>IF(Rooiebal2!Y6=(""),(""),ROUND(Rooiebal2!Y6/Rooiebal2!$T6*10,3))</f>
        <v>8</v>
      </c>
      <c r="W148" s="36" t="str">
        <f>IF(Rooiebal2!Z6=(""),(""),ROUND(Rooiebal2!Z6/Rooiebal2!$T6*10,3))</f>
        <v/>
      </c>
      <c r="X148" s="36">
        <f>IF(Rooiebal2!AA6=(""),(""),ROUND(Rooiebal2!AA6/Rooiebal2!$T6*10,3))</f>
        <v>12</v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>
      <c r="A149" s="27">
        <f t="shared" si="131"/>
        <v>10</v>
      </c>
      <c r="B149" s="123" t="str">
        <f>Rooiebal2!A7</f>
        <v>Goosen Winny</v>
      </c>
      <c r="C149" s="32">
        <f>IF(Rooiebal2!AL7=0," ",SUM(E149:AD149))</f>
        <v>99.355000000000004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>
        <f>IF(Rooiebal2!Y7=(""),(""),ROUND(Rooiebal2!Y7/Rooiebal2!$T7*10,3))</f>
        <v>5.484</v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>
      <c r="A150" s="27">
        <f t="shared" si="131"/>
        <v>12</v>
      </c>
      <c r="B150" s="124" t="str">
        <f>Rooiebal2!A8</f>
        <v>Lodewijckx Willy</v>
      </c>
      <c r="C150" s="32">
        <f>IF(Rooiebal2!AL8=0," ",SUM(E150:AD150))</f>
        <v>119.5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>
        <f>IF(Rooiebal2!Z8=(""),(""),ROUND(Rooiebal2!Z8/Rooiebal2!$T8*10,3))</f>
        <v>9.25</v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>
      <c r="A151" s="27">
        <f t="shared" si="131"/>
        <v>8</v>
      </c>
      <c r="B151" s="123" t="str">
        <f>Rooiebal2!A9</f>
        <v xml:space="preserve">Mathyssen Guy  </v>
      </c>
      <c r="C151" s="32">
        <f>IF(Rooiebal2!AL9=0," ",SUM(E151:AD151))</f>
        <v>67.352000000000004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>
        <f>IF(Rooiebal2!Z9=(""),(""),ROUND(Rooiebal2!Z9/Rooiebal2!$T9*10,3))</f>
        <v>10.294</v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>
      <c r="A152" s="27">
        <f t="shared" si="131"/>
        <v>12</v>
      </c>
      <c r="B152" s="123" t="str">
        <f>Rooiebal2!A10</f>
        <v>Ossenblok Ed</v>
      </c>
      <c r="C152" s="32">
        <f>IF(Rooiebal2!AL10=0," ",SUM(E152:AD152))</f>
        <v>110.286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>
        <f>IF(Rooiebal2!Y10=(""),(""),ROUND(Rooiebal2!Y10/Rooiebal2!$T10*10,3))</f>
        <v>6.5709999999999997</v>
      </c>
      <c r="W152" s="36" t="str">
        <f>IF(Rooiebal2!Z10=(""),(""),ROUND(Rooiebal2!Z10/Rooiebal2!$T10*10,3))</f>
        <v/>
      </c>
      <c r="X152" s="36">
        <f>IF(Rooiebal2!AA10=(""),(""),ROUND(Rooiebal2!AA10/Rooiebal2!$T10*10,3))</f>
        <v>10.856999999999999</v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>
      <c r="A153" s="27">
        <f t="shared" si="131"/>
        <v>9</v>
      </c>
      <c r="B153" s="123" t="str">
        <f>Rooiebal2!A11</f>
        <v>Suykerbuyk Cis</v>
      </c>
      <c r="C153" s="32">
        <f>IF(Rooiebal2!AL11=0," ",SUM(E153:AD153))</f>
        <v>82.001999999999995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>
        <f>IF(Rooiebal2!Y11=(""),(""),ROUND(Rooiebal2!Y11/Rooiebal2!$T11*10,3))</f>
        <v>16</v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>
      <c r="A154" s="27">
        <f t="shared" si="131"/>
        <v>11</v>
      </c>
      <c r="B154" s="123" t="str">
        <f>Rooiebal2!A12</f>
        <v>Swinnen Michel</v>
      </c>
      <c r="C154" s="32">
        <f>IF(Rooiebal2!AL12=0," ",SUM(E154:AD154))</f>
        <v>109.21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>
        <f>IF(Rooiebal2!Z12=(""),(""),ROUND(Rooiebal2!Z12/Rooiebal2!$T12*10,3))</f>
        <v>11.842000000000001</v>
      </c>
      <c r="X154" s="36">
        <f>IF(Rooiebal2!AA12=(""),(""),ROUND(Rooiebal2!AA12/Rooiebal2!$T12*10,3))</f>
        <v>6.5789999999999997</v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>
      <c r="A155" s="27">
        <f t="shared" si="131"/>
        <v>12</v>
      </c>
      <c r="B155" s="123" t="str">
        <f>Rooiebal2!A13</f>
        <v>Veraart Swa</v>
      </c>
      <c r="C155" s="32">
        <f>IF(Rooiebal2!AL13=0," ",SUM(E155:AD155))</f>
        <v>120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>
        <f>IF(Rooiebal2!Z13=(""),(""),ROUND(Rooiebal2!Z13/Rooiebal2!$T13*10,3))</f>
        <v>7.9169999999999998</v>
      </c>
      <c r="X155" s="36">
        <f>IF(Rooiebal2!AA13=(""),(""),ROUND(Rooiebal2!AA13/Rooiebal2!$T13*10,3))</f>
        <v>10</v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>
      <c r="A156" s="27">
        <f t="shared" si="131"/>
        <v>10</v>
      </c>
      <c r="B156" s="204" t="str">
        <f>Rooiebal2!A14</f>
        <v>Konings Kamiel [NS 20]</v>
      </c>
      <c r="C156" s="32">
        <f>IF(Rooiebal2!AL14=0," ",SUM(E156:AD156))</f>
        <v>56.667000000000002</v>
      </c>
      <c r="E156" s="36" t="str">
        <f>IF(Rooiebal2!C14=(""),(""),ROUND(Rooiebal2!C14/Rooiebal2!$B14*10,3))</f>
        <v/>
      </c>
      <c r="F156" s="224">
        <f>IF(Rooiebal2!D14=(""),(""),ROUND(Rooiebal2!D14/20*10,3))</f>
        <v>7</v>
      </c>
      <c r="G156" s="36" t="str">
        <f>IF(Rooiebal2!E14=(""),(""),ROUND(Rooiebal2!E14/Rooiebal2!$B14*10,3))</f>
        <v/>
      </c>
      <c r="H156" s="224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24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>
        <f>IF(Rooiebal2!Z14=(""),(""),ROUND(Rooiebal2!Z14/Rooiebal2!$T14*10,3))</f>
        <v>5.3330000000000002</v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>
      <c r="C157" s="209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>
        <f t="shared" si="132"/>
        <v>55.524000000000001</v>
      </c>
      <c r="W157" s="36">
        <f t="shared" si="132"/>
        <v>61.076999999999998</v>
      </c>
      <c r="X157" s="36">
        <f t="shared" si="132"/>
        <v>52.905000000000001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>
      <c r="A158" s="37"/>
      <c r="B158" s="38"/>
      <c r="C158" s="41">
        <f>SUM(C146:C156)</f>
        <v>1156.2149999999999</v>
      </c>
      <c r="D158" s="21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>
        <f t="shared" si="133"/>
        <v>1042.2330000000002</v>
      </c>
      <c r="W158" s="40">
        <f t="shared" si="133"/>
        <v>1103.3100000000002</v>
      </c>
      <c r="X158" s="40">
        <f t="shared" si="133"/>
        <v>1156.2150000000001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>
      <c r="A161" s="27">
        <f t="shared" ref="A161:A172" si="134">IF(SUM(E161:AD161)=0,(" "),COUNTIF(E161:AD161,"&gt;0"))</f>
        <v>13</v>
      </c>
      <c r="B161" s="28" t="str">
        <f>Putte!A4</f>
        <v xml:space="preserve">Anthonissen Paul </v>
      </c>
      <c r="C161" s="32">
        <f>IF(Putte!AL4=0," ",SUM(E161:AD161))</f>
        <v>133.423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>
        <f>IF(Putte!Y4=(""),(""),ROUND(Putte!Y4/Putte!$T4*10,3))</f>
        <v>7.8949999999999996</v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>
      <c r="A162" s="27">
        <f t="shared" si="134"/>
        <v>10</v>
      </c>
      <c r="B162" s="78" t="str">
        <f>Putte!A5</f>
        <v>De Beukelaer Freddy</v>
      </c>
      <c r="C162" s="32">
        <f>IF(Putte!AL5=0," ",SUM(E162:AD162))</f>
        <v>89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>
        <f>IF(Putte!Z5=(""),(""),ROUND(Putte!Z5/Putte!$T5*10,3))</f>
        <v>6.5</v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>
      <c r="A163" s="27">
        <f t="shared" si="134"/>
        <v>14</v>
      </c>
      <c r="B163" s="78" t="str">
        <f>Putte!A6</f>
        <v>Evers Henri</v>
      </c>
      <c r="C163" s="32">
        <f>IF(Putte!AL6=0," ",SUM(E163:AD163))</f>
        <v>119.334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>
        <f>IF(Putte!Z6=(""),(""),ROUND(Putte!Z6/Putte!$T6*10,3))</f>
        <v>10.667</v>
      </c>
      <c r="X163" s="36">
        <f>IF(Putte!AA6=(""),(""),ROUND(Putte!AA6/Putte!$T6*10,3))</f>
        <v>9.3330000000000002</v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>
      <c r="A164" s="27">
        <f t="shared" si="134"/>
        <v>15</v>
      </c>
      <c r="B164" s="28" t="str">
        <f>Putte!A7</f>
        <v xml:space="preserve">Palinckx Fons </v>
      </c>
      <c r="C164" s="32">
        <f>IF(Putte!AL7=0," ",SUM(E164:AD164))</f>
        <v>144.68499999999997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>
        <f>IF(Putte!Y7=(""),(""),ROUND(Putte!Y7/Putte!$T7*10,3))</f>
        <v>8.2279999999999998</v>
      </c>
      <c r="W164" s="36">
        <f>IF(Putte!Z7=(""),(""),ROUND(Putte!Z7/Putte!$T7*10,3))</f>
        <v>14.051</v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>
      <c r="A166" s="27">
        <f t="shared" si="134"/>
        <v>18</v>
      </c>
      <c r="B166" s="28" t="str">
        <f>Putte!A9</f>
        <v xml:space="preserve">Plompen Dirk </v>
      </c>
      <c r="C166" s="32">
        <f>IF(Putte!AL9=0," ",SUM(E166:AD166))</f>
        <v>179.18899999999996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>
        <f>IF(Putte!Y9=(""),(""),ROUND(Putte!Y9/Putte!$T9*10,3))</f>
        <v>10.27</v>
      </c>
      <c r="W166" s="36">
        <f>IF(Putte!Z9=(""),(""),ROUND(Putte!Z9/Putte!$T9*10,3))</f>
        <v>5.1349999999999998</v>
      </c>
      <c r="X166" s="36">
        <f>IF(Putte!AA9=(""),(""),ROUND(Putte!AA9/Putte!$T9*10,3))</f>
        <v>8.3780000000000001</v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>
      <c r="A167" s="27">
        <f t="shared" si="134"/>
        <v>10</v>
      </c>
      <c r="B167" s="28" t="str">
        <f>Putte!A10</f>
        <v xml:space="preserve">Schaeken Pierre </v>
      </c>
      <c r="C167" s="32">
        <f>IF(Putte!AL10=0," ",SUM(E167:AD167))</f>
        <v>112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>
        <f>IF(Putte!Y10=(""),(""),ROUND(Putte!Y10/Putte!$T10*10,3))</f>
        <v>8.5</v>
      </c>
      <c r="W167" s="36" t="str">
        <f>IF(Putte!Z10=(""),(""),ROUND(Putte!Z10/Putte!$T10*10,3))</f>
        <v/>
      </c>
      <c r="X167" s="36">
        <f>IF(Putte!AA10=(""),(""),ROUND(Putte!AA10/Putte!$T10*10,3))</f>
        <v>9</v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>
      <c r="A169" s="27" t="str">
        <f t="shared" si="134"/>
        <v xml:space="preserve"> </v>
      </c>
      <c r="B169" s="77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>
      <c r="A170" s="27">
        <f t="shared" si="134"/>
        <v>12</v>
      </c>
      <c r="B170" s="28" t="str">
        <f>Putte!A13</f>
        <v>Verelst Gilbert</v>
      </c>
      <c r="C170" s="32">
        <f>IF(Putte!AL13=0," ",SUM(E170:AD170))</f>
        <v>119.584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>
        <f>IF(Putte!Y13=(""),(""),ROUND(Putte!Y13/Putte!$T13*10,3))</f>
        <v>7.9169999999999998</v>
      </c>
      <c r="W170" s="36">
        <f>IF(Putte!Z13=(""),(""),ROUND(Putte!Z13/Putte!$T13*10,3))</f>
        <v>6.25</v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>
      <c r="A171" s="27">
        <f t="shared" si="134"/>
        <v>7</v>
      </c>
      <c r="B171" s="28" t="str">
        <f>Putte!A14</f>
        <v>Wolfcarius Jaques</v>
      </c>
      <c r="C171" s="32">
        <f>IF(Putte!AL14=0," ",SUM(E171:AD171))</f>
        <v>68.180999999999997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>
        <f>IF(Putte!AA14=(""),(""),ROUND(Putte!AA14/Putte!$T14*10,3))</f>
        <v>9.0909999999999993</v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>
      <c r="A172" s="27">
        <f t="shared" si="134"/>
        <v>11</v>
      </c>
      <c r="B172" s="28" t="str">
        <f>Putte!A15</f>
        <v xml:space="preserve">Eyckmans Luc   </v>
      </c>
      <c r="C172" s="32">
        <f>IF(Putte!AL15=0," ",SUM(E172:AD172))</f>
        <v>105.65300000000001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>
        <f>IF(Putte!AA15=(""),(""),ROUND(Putte!AA15/Putte!$T15*10,3))</f>
        <v>6.0869999999999997</v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>
      <c r="A173" s="27">
        <f t="shared" ref="A173" si="135">IF(SUM(E173:AD173)=0,(" "),COUNTIF(E173:AD173,"&gt;0"))</f>
        <v>4</v>
      </c>
      <c r="B173" s="38" t="str">
        <f>Putte!A16</f>
        <v>Moerbeek Wilfried [NS 20]</v>
      </c>
      <c r="C173" s="32">
        <f>IF(Putte!AL16=0," ",SUM(E173:AD173))</f>
        <v>51.981000000000002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224">
        <f>IF(Putte!W16=(""),(""),ROUND(Putte!W16/20*10,3))</f>
        <v>9</v>
      </c>
      <c r="U173" s="36" t="str">
        <f>IF(Putte!X16=(""),(""),ROUND(Putte!X16/Putte!$T16*10,3))</f>
        <v/>
      </c>
      <c r="V173" s="224">
        <f>IF(Putte!Y16=(""),(""),ROUND(Putte!Y16/20*10,3))</f>
        <v>10</v>
      </c>
      <c r="W173" s="224">
        <f>IF(Putte!Z16=(""),(""),ROUND(Putte!Z16/20*10,3))</f>
        <v>21.5</v>
      </c>
      <c r="X173" s="36">
        <f>IF(Putte!AA16=(""),(""),ROUND(Putte!AA16/Putte!$T16*10,3))</f>
        <v>11.481</v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>
      <c r="C174" s="209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>
        <f t="shared" si="136"/>
        <v>52.81</v>
      </c>
      <c r="W174" s="36">
        <f t="shared" si="136"/>
        <v>64.103000000000009</v>
      </c>
      <c r="X174" s="36">
        <f t="shared" si="136"/>
        <v>53.37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>
      <c r="A175" s="37"/>
      <c r="B175" s="150"/>
      <c r="C175" s="41">
        <f>SUM(C161:C173)</f>
        <v>1197.575</v>
      </c>
      <c r="D175" s="214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>
        <f t="shared" si="137"/>
        <v>1080.1020000000001</v>
      </c>
      <c r="W175" s="40">
        <f t="shared" si="137"/>
        <v>1144.2050000000002</v>
      </c>
      <c r="X175" s="40">
        <f>IF(X174=(" "),(" "),W175+X174)</f>
        <v>1197.575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>
      <c r="A178" s="27">
        <f t="shared" ref="A178:A189" si="138">IF(SUM(E178:AD178)=0,(" "),COUNTIF(E178:AD178,"&gt;0"))</f>
        <v>8</v>
      </c>
      <c r="B178" s="28" t="str">
        <f>Wildert1!A4</f>
        <v>Adriaansen Jan</v>
      </c>
      <c r="C178" s="32">
        <f>IF(Wildert1!AL4=0," ",SUM(E178:AD178))</f>
        <v>77.057999999999993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>
        <f>IF(Wildert1!Y4=(""),(""),ROUND(Wildert1!Y4/Wildert1!$T4*10,3))</f>
        <v>13.529</v>
      </c>
      <c r="W178" s="36">
        <f>IF(Wildert1!Z4=(""),(""),ROUND(Wildert1!Z4/Wildert1!$T4*10,3))</f>
        <v>11.765000000000001</v>
      </c>
      <c r="X178" s="36">
        <f>IF(Wildert1!AA4=(""),(""),ROUND(Wildert1!AA4/Wildert1!$T4*10,3))</f>
        <v>8.2349999999999994</v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>
      <c r="A179" s="27">
        <f t="shared" si="138"/>
        <v>12</v>
      </c>
      <c r="B179" s="28" t="str">
        <f>Wildert1!A5</f>
        <v>Brouwers Adri</v>
      </c>
      <c r="C179" s="32">
        <f>IF(Wildert1!AL5=0," ",SUM(E179:AD179))</f>
        <v>107.369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>
        <f>IF(Wildert1!Y5=(""),(""),ROUND(Wildert1!Y5/Wildert1!$T5*10,3))</f>
        <v>11.316000000000001</v>
      </c>
      <c r="W179" s="36" t="str">
        <f>IF(Wildert1!Z5=(""),(""),ROUND(Wildert1!Z5/Wildert1!$T5*10,3))</f>
        <v/>
      </c>
      <c r="X179" s="36">
        <f>IF(Wildert1!AA5=(""),(""),ROUND(Wildert1!AA5/Wildert1!$T5*10,3))</f>
        <v>5.2629999999999999</v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>
      <c r="A180" s="27">
        <f t="shared" si="138"/>
        <v>11</v>
      </c>
      <c r="B180" s="38" t="str">
        <f>Wildert1!A6</f>
        <v>Buijk Jan  [NS 55]</v>
      </c>
      <c r="C180" s="32">
        <f>IF(Wildert1!AL6=0," ",SUM(E180:AD180))</f>
        <v>112.20600000000002</v>
      </c>
      <c r="E180" s="224">
        <f>IF(Wildert1!C6=(""),(""),ROUND(Wildert1!C6/55*10,3))</f>
        <v>10.727</v>
      </c>
      <c r="F180" s="224">
        <f>IF(Wildert1!D6=(""),(""),ROUND(Wildert1!D6/55*10,3))</f>
        <v>8.5449999999999999</v>
      </c>
      <c r="G180" s="224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>
        <f>IF(Wildert1!AA6=(""),(""),ROUND(Wildert1!AA6/Wildert1!$T6*10,3))</f>
        <v>6.0339999999999998</v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>
      <c r="A181" s="27">
        <f t="shared" si="138"/>
        <v>4</v>
      </c>
      <c r="B181" s="78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>
      <c r="A182" s="27">
        <f t="shared" si="138"/>
        <v>11</v>
      </c>
      <c r="B182" s="77" t="str">
        <f>Wildert1!A8</f>
        <v>Dries Louis</v>
      </c>
      <c r="C182" s="32">
        <f>IF(Wildert1!AL8=0," ",SUM(E182:AD182))</f>
        <v>107.19000000000001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>
        <f>IF(Wildert1!Z8=(""),(""),ROUND(Wildert1!Z8/Wildert1!$T8*10,3))</f>
        <v>8.75</v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>
      <c r="A185" s="27">
        <f t="shared" si="138"/>
        <v>10</v>
      </c>
      <c r="B185" s="28" t="str">
        <f>Wildert1!A11</f>
        <v xml:space="preserve">Konings Guido </v>
      </c>
      <c r="C185" s="32">
        <f>IF(Wildert1!AL11=0," ",SUM(E185:AD185))</f>
        <v>122.5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>
        <f>IF(Wildert1!Y11=(""),(""),ROUND(Wildert1!Y11/Wildert1!$T11*10,3))</f>
        <v>13.333</v>
      </c>
      <c r="W185" s="36">
        <f>IF(Wildert1!Z11=(""),(""),ROUND(Wildert1!Z11/Wildert1!$T11*10,3))</f>
        <v>10.833</v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>
      <c r="A186" s="27">
        <f t="shared" si="138"/>
        <v>11</v>
      </c>
      <c r="B186" s="28" t="str">
        <f>Wildert1!A12</f>
        <v xml:space="preserve">Kustermans Toon </v>
      </c>
      <c r="C186" s="32">
        <f>IF(Wildert1!AL12=0," ",SUM(E186:AD186))</f>
        <v>98.156999999999982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>
        <f>IF(Wildert1!Y12=(""),(""),ROUND(Wildert1!Y12/Wildert1!$T12*10,3))</f>
        <v>5.5259999999999998</v>
      </c>
      <c r="W186" s="36">
        <f>IF(Wildert1!Z12=(""),(""),ROUND(Wildert1!Z12/Wildert1!$T12*10,3))</f>
        <v>6.8419999999999996</v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>
      <c r="A187" s="27">
        <f t="shared" si="138"/>
        <v>10</v>
      </c>
      <c r="B187" s="28" t="str">
        <f>Wildert1!A13</f>
        <v xml:space="preserve">Sarra-Ribo Jef      </v>
      </c>
      <c r="C187" s="32">
        <f>IF(Wildert1!AL13=0," ",SUM(E187:AD187))</f>
        <v>95.680999999999997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>
        <f>IF(Wildert1!Z13=(""),(""),ROUND(Wildert1!Z13/Wildert1!$T13*10,3))</f>
        <v>11.818</v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>
      <c r="A188" s="27">
        <f t="shared" si="138"/>
        <v>9</v>
      </c>
      <c r="B188" s="28" t="str">
        <f>Wildert1!A14</f>
        <v>Sas Ronny</v>
      </c>
      <c r="C188" s="32">
        <f>IF(Wildert1!AL14=0," ",SUM(E188:AD188))</f>
        <v>78.998999999999995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>
        <f>IF(Wildert1!Y14=(""),(""),ROUND(Wildert1!Y14/Wildert1!$T14*10,3))</f>
        <v>6.3330000000000002</v>
      </c>
      <c r="W188" s="36" t="str">
        <f>IF(Wildert1!Z14=(""),(""),ROUND(Wildert1!Z14/Wildert1!$T14*10,3))</f>
        <v/>
      </c>
      <c r="X188" s="36">
        <f>IF(Wildert1!AA14=(""),(""),ROUND(Wildert1!AA14/Wildert1!$T14*10,3))</f>
        <v>10</v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>
      <c r="A189" s="27">
        <f t="shared" si="138"/>
        <v>13</v>
      </c>
      <c r="B189" s="28" t="str">
        <f>Wildert1!A15</f>
        <v>Thijs Jef</v>
      </c>
      <c r="C189" s="32">
        <f>IF(Wildert1!AL15=0," ",SUM(E189:AD189))</f>
        <v>130.477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>
        <f>IF(Wildert1!Z15=(""),(""),ROUND(Wildert1!Z15/Wildert1!$T15*10,3))</f>
        <v>14.286</v>
      </c>
      <c r="X189" s="36">
        <f>IF(Wildert1!AA15=(""),(""),ROUND(Wildert1!AA15/Wildert1!$T15*10,3))</f>
        <v>7.1429999999999998</v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>
      <c r="A190" s="27">
        <f t="shared" ref="A190" si="139">IF(SUM(E190:AD190)=0,(" "),COUNTIF(E190:AD190,"&gt;0"))</f>
        <v>8</v>
      </c>
      <c r="B190" s="38" t="str">
        <f>Wildert1!A16</f>
        <v xml:space="preserve">Wetzer Rik [NS 20] </v>
      </c>
      <c r="C190" s="32">
        <f>IF(Wildert1!AL16=0," ",SUM(E190:AD190))</f>
        <v>65.001000000000005</v>
      </c>
      <c r="E190" s="36" t="str">
        <f>IF(Wildert1!C16=(""),(""),ROUND(Wildert1!C16/Wildert1!$B16*10,3))</f>
        <v/>
      </c>
      <c r="F190" s="224">
        <f>IF(Wildert1!D16=(""),(""),ROUND(Wildert1!D16/20*10,3))</f>
        <v>4</v>
      </c>
      <c r="G190" s="36" t="str">
        <f>IF(Wildert1!E16=(""),(""),ROUND(Wildert1!E16/Wildert1!$B16*10,3))</f>
        <v/>
      </c>
      <c r="H190" s="224">
        <f>IF(Wildert1!F16=(""),(""),ROUND(Wildert1!F16/20*10,3))</f>
        <v>8.5</v>
      </c>
      <c r="I190" s="36" t="str">
        <f>IF(Wildert1!G16=(""),(""),ROUND(Wildert1!G16/Wildert1!$B16*10,3))</f>
        <v/>
      </c>
      <c r="J190" s="224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>
        <f>IF(Wildert1!Y16=(""),(""),ROUND(Wildert1!Y16/Wildert1!$T16*10,3))</f>
        <v>10</v>
      </c>
      <c r="W190" s="36" t="str">
        <f>IF(Wildert1!Z16=(""),(""),ROUND(Wildert1!Z16/Wildert1!$T16*10,3))</f>
        <v/>
      </c>
      <c r="X190" s="36">
        <f>IF(Wildert1!AA16=(""),(""),ROUND(Wildert1!AA16/Wildert1!$T16*10,3))</f>
        <v>6.6669999999999998</v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224">
        <f>IF(Wildert1!U17=(""),(""),ROUND(Wildert1!U17/Wildert1!$T17*10,3))</f>
        <v>8</v>
      </c>
      <c r="S191" s="36" t="str">
        <f>IF(Wildert1!V17=(""),(""),ROUND(Wildert1!V17/Wildert1!$T17*10,3))</f>
        <v/>
      </c>
      <c r="T191" s="224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>
      <c r="C192" s="210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>
        <f t="shared" si="141"/>
        <v>60.036999999999992</v>
      </c>
      <c r="W192" s="36">
        <f t="shared" si="141"/>
        <v>64.293999999999997</v>
      </c>
      <c r="X192" s="36">
        <f t="shared" si="141"/>
        <v>43.341999999999999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>
      <c r="A193" s="37"/>
      <c r="B193" s="150"/>
      <c r="C193" s="41">
        <f>SUM(C178:C191)</f>
        <v>1165.0210000000002</v>
      </c>
      <c r="D193" s="214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>
        <f t="shared" si="142"/>
        <v>1057.3849999999998</v>
      </c>
      <c r="W193" s="40">
        <f t="shared" si="142"/>
        <v>1121.6789999999999</v>
      </c>
      <c r="X193" s="40">
        <f t="shared" si="142"/>
        <v>1165.021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>
      <c r="A196" s="27">
        <f t="shared" ref="A196:A206" si="143">IF(SUM(E196:AD196)=0,(" "),COUNTIF(E196:AD196,"&gt;0"))</f>
        <v>6</v>
      </c>
      <c r="B196" s="28" t="str">
        <f>Wildert2!A4</f>
        <v xml:space="preserve">Aernouts Johan  </v>
      </c>
      <c r="C196" s="32">
        <f>IF(Wildert2!AL4=0," ",SUM(E196:AD196))</f>
        <v>57.209000000000003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>
        <f>IF(Wildert2!Z4=(""),(""),ROUND(Wildert2!Z4/Wildert2!$T4*10,3))</f>
        <v>5.5810000000000004</v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>
      <c r="A197" s="27">
        <f t="shared" si="143"/>
        <v>14</v>
      </c>
      <c r="B197" s="78" t="str">
        <f>Wildert2!A5</f>
        <v>Eestermans René</v>
      </c>
      <c r="C197" s="32">
        <f>IF(Wildert2!AL5=0," ",SUM(E197:AD197))</f>
        <v>151.071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28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27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>
        <f>IF(Wildert2!AA5=(""),(""),ROUND(Wildert2!AA5/Wildert2!$T5*10,3))</f>
        <v>7.5</v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>
      <c r="A198" s="27">
        <f t="shared" si="143"/>
        <v>18</v>
      </c>
      <c r="B198" s="28" t="str">
        <f>Wildert2!A6</f>
        <v xml:space="preserve">Eijckholt Adrie              </v>
      </c>
      <c r="C198" s="32">
        <f>IF(Wildert2!AL6=0," ",SUM(E198:AD198))</f>
        <v>173.09499999999997</v>
      </c>
      <c r="E198" s="36">
        <f>IF(Wildert2!C6=(""),(""),ROUND(Wildert2!C6/Wildert2!$B6*10,3))</f>
        <v>9.048</v>
      </c>
      <c r="F198" s="228">
        <f>IF(Wildert2!D6=(""),(""),ROUND(Wildert2!D6/Wildert2!$B6*10,3))</f>
        <v>11.667</v>
      </c>
      <c r="G198" s="228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27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>
        <f>IF(Wildert2!Y6=(""),(""),ROUND(Wildert2!Y6/Wildert2!$T6*10,3))</f>
        <v>10</v>
      </c>
      <c r="W198" s="36">
        <f>IF(Wildert2!Z6=(""),(""),ROUND(Wildert2!Z6/Wildert2!$T6*10,3))</f>
        <v>7.6189999999999998</v>
      </c>
      <c r="X198" s="36">
        <f>IF(Wildert2!AA6=(""),(""),ROUND(Wildert2!AA6/Wildert2!$T6*10,3))</f>
        <v>11.19</v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>
      <c r="A199" s="27">
        <f t="shared" si="143"/>
        <v>16</v>
      </c>
      <c r="B199" s="78" t="str">
        <f>Wildert2!A7</f>
        <v xml:space="preserve">Francken Robert </v>
      </c>
      <c r="C199" s="89">
        <f>IF(Wildert2!AL7=0," ",SUM(E199:AD199))</f>
        <v>192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27">
        <f>IF(Wildert2!H7=(""),(""),ROUND(Wildert2!H7/Wildert2!$B7*10,3))</f>
        <v>16.25</v>
      </c>
      <c r="K199" s="227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>
        <f>IF(Wildert2!Z7=(""),(""),ROUND(Wildert2!Z7/Wildert2!$T7*10,3))</f>
        <v>10.5</v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>
      <c r="A200" s="27">
        <f t="shared" si="143"/>
        <v>10</v>
      </c>
      <c r="B200" s="78" t="str">
        <f>Wildert2!A8</f>
        <v xml:space="preserve">Leys Herman </v>
      </c>
      <c r="C200" s="32">
        <f>IF(Wildert2!AL8=0," ",SUM(E200:AD200))</f>
        <v>114.37700000000001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>
        <f>IF(Wildert2!Y8=(""),(""),ROUND(Wildert2!Y8/Wildert2!$T8*10,3))</f>
        <v>9.6880000000000006</v>
      </c>
      <c r="W200" s="36">
        <f>IF(Wildert2!Z8=(""),(""),ROUND(Wildert2!Z8/Wildert2!$T8*10,3))</f>
        <v>6.25</v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>
      <c r="A201" s="27" t="str">
        <f t="shared" si="143"/>
        <v xml:space="preserve"> </v>
      </c>
      <c r="B201" s="28" t="str">
        <f>Wildert2!A9</f>
        <v>Mutsters Louis</v>
      </c>
      <c r="C201" s="89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>
      <c r="A202" s="27">
        <f t="shared" si="143"/>
        <v>7</v>
      </c>
      <c r="B202" s="204" t="str">
        <f>Wildert2!A10</f>
        <v>Peeters Hugo [NS 36]</v>
      </c>
      <c r="C202" s="32">
        <f>IF(Wildert2!AL10=0," ",SUM(E202:AD202))</f>
        <v>66.216999999999985</v>
      </c>
      <c r="E202" s="224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24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24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>
        <f>IF(Wildert2!Y10=(""),(""),ROUND(Wildert2!Y10/Wildert2!$T10*10,3))</f>
        <v>6.923</v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>
      <c r="A203" s="27">
        <f t="shared" si="143"/>
        <v>15</v>
      </c>
      <c r="B203" s="38" t="str">
        <f>Wildert2!A11</f>
        <v xml:space="preserve">Scholtis Vic  [NS 49] </v>
      </c>
      <c r="C203" s="32">
        <f>IF(Wildert2!AL11=0," ",SUM(E203:AD203))</f>
        <v>153.50399999999999</v>
      </c>
      <c r="E203" s="36" t="str">
        <f>IF(Wildert2!C11=(""),(""),ROUND(Wildert2!C11/Wildert2!$B11*10,3))</f>
        <v/>
      </c>
      <c r="F203" s="224">
        <f>IF(Wildert2!D11=(""),(""),ROUND(Wildert2!D11/49*10,3))</f>
        <v>4.8979999999999997</v>
      </c>
      <c r="G203" s="36" t="str">
        <f>IF(Wildert2!E11=(""),(""),ROUND(Wildert2!E11/Wildert2!$B11*10,3))</f>
        <v/>
      </c>
      <c r="H203" s="224">
        <f>IF(Wildert2!F11=(""),(""),ROUND(Wildert2!F11/49*10,3))</f>
        <v>10</v>
      </c>
      <c r="I203" s="224">
        <f>IF(Wildert2!G11=(""),(""),ROUND(Wildert2!G11/49*10,3))</f>
        <v>6.5309999999999997</v>
      </c>
      <c r="J203" s="227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>
        <f>IF(Wildert2!Y11=(""),(""),ROUND(Wildert2!Y11/Wildert2!$T11*10,3))</f>
        <v>5.8140000000000001</v>
      </c>
      <c r="W203" s="36">
        <f>IF(Wildert2!Z11=(""),(""),ROUND(Wildert2!Z11/Wildert2!$T11*10,3))</f>
        <v>12.558</v>
      </c>
      <c r="X203" s="36">
        <f>IF(Wildert2!AA11=(""),(""),ROUND(Wildert2!AA11/Wildert2!$T11*10,3))</f>
        <v>5.3490000000000002</v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>
      <c r="A204" s="27">
        <f t="shared" si="143"/>
        <v>2</v>
      </c>
      <c r="B204" s="77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>
      <c r="A205" s="27">
        <f t="shared" si="143"/>
        <v>15</v>
      </c>
      <c r="B205" s="28" t="str">
        <f>Wildert2!A13</f>
        <v xml:space="preserve">Van Ginneken Ludo </v>
      </c>
      <c r="C205" s="32">
        <f>IF(Wildert2!AL13=0," ",SUM(E205:AD205))</f>
        <v>166.88700000000003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28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27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>
        <f>IF(Wildert2!Y13=(""),(""),ROUND(Wildert2!Y13/Wildert2!$T13*10,3))</f>
        <v>8.2219999999999995</v>
      </c>
      <c r="W205" s="36">
        <f>IF(Wildert2!Z13=(""),(""),ROUND(Wildert2!Z13/Wildert2!$T13*10,3))</f>
        <v>16.222000000000001</v>
      </c>
      <c r="X205" s="36">
        <f>IF(Wildert2!AA13=(""),(""),ROUND(Wildert2!AA13/Wildert2!$T13*10,3))</f>
        <v>7.7779999999999996</v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>
      <c r="A206" s="27">
        <f t="shared" si="143"/>
        <v>12</v>
      </c>
      <c r="B206" s="28" t="str">
        <f>Wildert2!A14</f>
        <v>Van Hooydonck Swa</v>
      </c>
      <c r="C206" s="32">
        <f>IF(Wildert2!AL14=0," ",SUM(E206:AD206))</f>
        <v>113.714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28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>
        <f>IF(Wildert2!Y14=(""),(""),ROUND(Wildert2!Y14/Wildert2!$T14*10,3))</f>
        <v>8.5709999999999997</v>
      </c>
      <c r="W206" s="36" t="str">
        <f>IF(Wildert2!Z14=(""),(""),ROUND(Wildert2!Z14/Wildert2!$T14*10,3))</f>
        <v/>
      </c>
      <c r="X206" s="36">
        <f>IF(Wildert2!AA14=(""),(""),ROUND(Wildert2!AA14/Wildert2!$T14*10,3))</f>
        <v>7.4290000000000003</v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>
      <c r="A207" s="27">
        <f t="shared" ref="A207" si="144">IF(SUM(E207:AD207)=0,(" "),COUNTIF(E207:AD207,"&gt;0"))</f>
        <v>5</v>
      </c>
      <c r="B207" s="28" t="str">
        <f>Wildert2!A15</f>
        <v>Wiericx Herman</v>
      </c>
      <c r="C207" s="32">
        <f>IF(Wildert2!AL15=0," ",SUM(E207:AD207))</f>
        <v>58.2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28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>
        <f>IF(Wildert2!AA15=(""),(""),ROUND(Wildert2!AA15/Wildert2!$T15*10,3))</f>
        <v>12</v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>
      <c r="C208" s="210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>
        <f t="shared" si="145"/>
        <v>49.218000000000004</v>
      </c>
      <c r="W208" s="36">
        <f t="shared" si="145"/>
        <v>58.73</v>
      </c>
      <c r="X208" s="36">
        <f t="shared" si="145"/>
        <v>51.245999999999995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>
      <c r="A209" s="37"/>
      <c r="B209" s="38"/>
      <c r="C209" s="41">
        <f>SUM(C196:C207)</f>
        <v>1276.8239999999998</v>
      </c>
      <c r="D209" s="220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>
        <f t="shared" si="146"/>
        <v>1166.8480000000004</v>
      </c>
      <c r="W209" s="40">
        <f t="shared" si="146"/>
        <v>1225.5780000000004</v>
      </c>
      <c r="X209" s="40">
        <f t="shared" si="146"/>
        <v>1276.8240000000005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>
      <c r="B211" s="31" t="s">
        <v>294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>
      <c r="A212" s="27">
        <f t="shared" ref="A212:A222" si="147">IF(SUM(E212:AD212)=0,(" "),COUNTIF(E212:AD212,"&gt;0"))</f>
        <v>11</v>
      </c>
      <c r="B212" s="28" t="str">
        <f>DeBeek!A4</f>
        <v xml:space="preserve">Bergmans Armand </v>
      </c>
      <c r="C212" s="32">
        <f>IF(DeBeek!AL4=0," ",SUM(E212:AD212))</f>
        <v>111.72399999999999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>
        <f>IF(DeBeek!Z4=(""),(""),ROUND(DeBeek!Z4/DeBeek!$T4*10,3))</f>
        <v>8.9659999999999993</v>
      </c>
      <c r="X212" s="36">
        <f>IF(DeBeek!AA4=(""),(""),ROUND(DeBeek!AA4/DeBeek!$T4*10,3))</f>
        <v>5.8620000000000001</v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>
      <c r="A213" s="27">
        <f t="shared" si="147"/>
        <v>12</v>
      </c>
      <c r="B213" s="77" t="str">
        <f>DeBeek!A5</f>
        <v>Beyers Armand</v>
      </c>
      <c r="C213" s="32">
        <f>IF(DeBeek!AL5=0," ",SUM(E213:AD213))</f>
        <v>140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>
        <f>IF(DeBeek!Y5=(""),(""),ROUND(DeBeek!Y5/DeBeek!$T5*10,3))</f>
        <v>16.111000000000001</v>
      </c>
      <c r="W213" s="36" t="str">
        <f>IF(DeBeek!Z5=(""),(""),ROUND(DeBeek!Z5/DeBeek!$T5*10,3))</f>
        <v/>
      </c>
      <c r="X213" s="36">
        <f>IF(DeBeek!AA5=(""),(""),ROUND(DeBeek!AA5/DeBeek!$T5*10,3))</f>
        <v>15.278</v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>
      <c r="A214" s="27">
        <f t="shared" si="147"/>
        <v>14</v>
      </c>
      <c r="B214" s="78" t="str">
        <f>DeBeek!A6</f>
        <v xml:space="preserve">Beyers Roger </v>
      </c>
      <c r="C214" s="32">
        <f>IF(DeBeek!AL6=0," ",SUM(E214:AD214))</f>
        <v>135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>
        <f>IF(DeBeek!Y6=(""),(""),ROUND(DeBeek!Y6/DeBeek!$T6*10,3))</f>
        <v>7.609</v>
      </c>
      <c r="W214" s="36">
        <f>IF(DeBeek!Z6=(""),(""),ROUND(DeBeek!Z6/DeBeek!$T6*10,3))</f>
        <v>11.957000000000001</v>
      </c>
      <c r="X214" s="36">
        <f>IF(DeBeek!AA6=(""),(""),ROUND(DeBeek!AA6/DeBeek!$T6*10,3))</f>
        <v>11.304</v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>
      <c r="A215" s="27">
        <f t="shared" si="147"/>
        <v>12</v>
      </c>
      <c r="B215" s="28" t="str">
        <f>DeBeek!A7</f>
        <v xml:space="preserve">Binnemans Rene </v>
      </c>
      <c r="C215" s="32">
        <f>IF(DeBeek!AL7=0," ",SUM(E215:AD215))</f>
        <v>122.12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>
        <f>IF(DeBeek!Y7=(""),(""),ROUND(DeBeek!Y7/DeBeek!$T7*10,3))</f>
        <v>3.3330000000000002</v>
      </c>
      <c r="W215" s="36" t="str">
        <f>IF(DeBeek!Z7=(""),(""),ROUND(DeBeek!Z7/DeBeek!$T7*10,3))</f>
        <v/>
      </c>
      <c r="X215" s="36">
        <f>IF(DeBeek!AA7=(""),(""),ROUND(DeBeek!AA7/DeBeek!$T7*10,3))</f>
        <v>18.788</v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>
      <c r="A216" s="27">
        <f t="shared" si="147"/>
        <v>13</v>
      </c>
      <c r="B216" s="78" t="str">
        <f>DeBeek!A8</f>
        <v>De Crom Ludo</v>
      </c>
      <c r="C216" s="32">
        <f>IF(DeBeek!AL8=0," ",SUM(E216:AD216))</f>
        <v>102.917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>
        <f>IF(DeBeek!Z8=(""),(""),ROUND(DeBeek!Z8/DeBeek!$T8*10,3))</f>
        <v>9.5830000000000002</v>
      </c>
      <c r="X216" s="36">
        <f>IF(DeBeek!AA8=(""),(""),ROUND(DeBeek!AA8/DeBeek!$T8*10,3))</f>
        <v>7.5</v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>
      <c r="A217" s="27">
        <f t="shared" si="147"/>
        <v>9</v>
      </c>
      <c r="B217" s="170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>
      <c r="A218" s="27">
        <f t="shared" si="147"/>
        <v>11</v>
      </c>
      <c r="B218" s="78" t="str">
        <f>DeBeek!A10</f>
        <v xml:space="preserve">Heyndrickx Alfons   </v>
      </c>
      <c r="C218" s="32">
        <f>IF(DeBeek!AL10=0," ",SUM(E218:AD218))</f>
        <v>121.15299999999999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>
        <f>IF(DeBeek!Y10=(""),(""),ROUND(DeBeek!Y10/DeBeek!$T10*10,3))</f>
        <v>6.5380000000000003</v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>
      <c r="A219" s="27">
        <f t="shared" si="147"/>
        <v>13</v>
      </c>
      <c r="B219" s="28" t="str">
        <f>DeBeek!A11</f>
        <v xml:space="preserve">Van Looveren Dirk </v>
      </c>
      <c r="C219" s="32">
        <f>IF(DeBeek!AL11=0," ",SUM(E219:AD219))</f>
        <v>117.95499999999998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>
        <f>IF(DeBeek!Y11=(""),(""),ROUND(DeBeek!Y11/DeBeek!$T11*10,3))</f>
        <v>6.5910000000000002</v>
      </c>
      <c r="W219" s="36">
        <f>IF(DeBeek!Z11=(""),(""),ROUND(DeBeek!Z11/DeBeek!$T11*10,3))</f>
        <v>6.5910000000000002</v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>
      <c r="A220" s="27">
        <f t="shared" si="147"/>
        <v>15</v>
      </c>
      <c r="B220" s="28" t="str">
        <f>DeBeek!A12</f>
        <v>Van Wesenbeeck Marcel</v>
      </c>
      <c r="C220" s="32">
        <f>IF(DeBeek!AL12=0," ",SUM(E220:AD220))</f>
        <v>142.142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>
        <f>IF(DeBeek!Y12=(""),(""),ROUND(DeBeek!Y12/DeBeek!$T12*10,3))</f>
        <v>5.7140000000000004</v>
      </c>
      <c r="W220" s="36">
        <f>IF(DeBeek!Z12=(""),(""),ROUND(DeBeek!Z12/DeBeek!$T12*10,3))</f>
        <v>14.643000000000001</v>
      </c>
      <c r="X220" s="36">
        <f>IF(DeBeek!AA12=(""),(""),ROUND(DeBeek!AA12/DeBeek!$T12*10,3))</f>
        <v>5.7140000000000004</v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>
      <c r="A221" s="27">
        <f t="shared" si="147"/>
        <v>10</v>
      </c>
      <c r="B221" s="28" t="str">
        <f>DeBeek!A13</f>
        <v xml:space="preserve">Verhulst Adri     </v>
      </c>
      <c r="C221" s="32">
        <f>IF(DeBeek!AL13=0," ",SUM(E221:AD221))</f>
        <v>90.589000000000013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>
        <f>IF(DeBeek!Z13=(""),(""),ROUND(DeBeek!Z13/DeBeek!$T13*10,3))</f>
        <v>6.1760000000000002</v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>
      <c r="C223" s="210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>
        <f t="shared" si="148"/>
        <v>45.895999999999994</v>
      </c>
      <c r="W223" s="36">
        <f t="shared" si="148"/>
        <v>57.916000000000004</v>
      </c>
      <c r="X223" s="36">
        <f t="shared" si="148"/>
        <v>64.445999999999998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>
      <c r="A224" s="37"/>
      <c r="B224" s="38"/>
      <c r="C224" s="41">
        <f>SUM(C212:C222)</f>
        <v>1168.819</v>
      </c>
      <c r="D224" s="214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>
        <f t="shared" si="149"/>
        <v>1046.4569999999999</v>
      </c>
      <c r="W224" s="40">
        <f t="shared" si="149"/>
        <v>1104.3729999999998</v>
      </c>
      <c r="X224" s="40">
        <f t="shared" si="149"/>
        <v>1168.8189999999997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15"/>
  <dimension ref="A1:J225"/>
  <sheetViews>
    <sheetView showGridLines="0" showRowColHeaders="0" topLeftCell="A162" zoomScale="115" zoomScaleNormal="115" workbookViewId="0">
      <selection activeCell="H6" sqref="H6"/>
    </sheetView>
  </sheetViews>
  <sheetFormatPr defaultRowHeight="15.6"/>
  <cols>
    <col min="1" max="1" width="32.88671875" style="83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>
      <c r="A1" s="317" t="s">
        <v>285</v>
      </c>
      <c r="B1" s="317"/>
      <c r="C1" s="317"/>
      <c r="D1" s="317"/>
      <c r="E1" s="207" t="s">
        <v>332</v>
      </c>
    </row>
    <row r="2" spans="1:5" ht="21" customHeight="1">
      <c r="A2" s="318" t="s">
        <v>286</v>
      </c>
      <c r="B2" s="318"/>
      <c r="C2" s="318"/>
      <c r="D2" s="318"/>
      <c r="E2" s="212">
        <v>46093</v>
      </c>
    </row>
    <row r="3" spans="1:5" s="81" customFormat="1" ht="25.2" customHeight="1">
      <c r="A3" s="83"/>
      <c r="B3" s="84" t="s">
        <v>35</v>
      </c>
      <c r="C3" s="85"/>
    </row>
    <row r="4" spans="1:5" s="31" customFormat="1">
      <c r="A4" s="95" t="s">
        <v>36</v>
      </c>
      <c r="B4" s="82" t="s">
        <v>37</v>
      </c>
      <c r="C4" s="82" t="s">
        <v>38</v>
      </c>
      <c r="D4" s="86" t="s">
        <v>3</v>
      </c>
      <c r="E4" s="86" t="s">
        <v>3</v>
      </c>
    </row>
    <row r="5" spans="1:5" s="81" customFormat="1" ht="7.95" customHeight="1">
      <c r="A5" s="83"/>
      <c r="B5" s="85"/>
      <c r="C5" s="85"/>
    </row>
    <row r="6" spans="1:5" s="81" customFormat="1" ht="15">
      <c r="A6" s="83">
        <v>45873</v>
      </c>
      <c r="B6" s="85" t="s">
        <v>11</v>
      </c>
      <c r="C6" s="85" t="s">
        <v>12</v>
      </c>
      <c r="D6" s="100">
        <f>VLOOKUP(B6,Punten!$C$3:$AD$224,3,0)</f>
        <v>60.343999999999994</v>
      </c>
      <c r="E6" s="100">
        <f>VLOOKUP(C6,Punten!$C$3:$AD$224,3,0)</f>
        <v>63.094999999999999</v>
      </c>
    </row>
    <row r="7" spans="1:5" s="81" customFormat="1" ht="15">
      <c r="A7" s="122">
        <v>45874</v>
      </c>
      <c r="B7" s="94" t="s">
        <v>290</v>
      </c>
      <c r="C7" s="101" t="s">
        <v>7</v>
      </c>
      <c r="D7" s="100">
        <f>VLOOKUP(B7,Punten!$C$3:$AD$224,3,0)</f>
        <v>50.902000000000001</v>
      </c>
      <c r="E7" s="100">
        <f>VLOOKUP(C7,Punten!$C$3:$AD$224,3,0)</f>
        <v>83.358999999999995</v>
      </c>
    </row>
    <row r="8" spans="1:5" s="81" customFormat="1" ht="15">
      <c r="A8" s="166">
        <v>45874</v>
      </c>
      <c r="B8" s="165" t="s">
        <v>9</v>
      </c>
      <c r="C8" s="165" t="s">
        <v>8</v>
      </c>
      <c r="D8" s="100">
        <f>VLOOKUP(B8,Punten!$C$3:$AD$224,3,0)</f>
        <v>61.838000000000001</v>
      </c>
      <c r="E8" s="100">
        <f>VLOOKUP(C8,Punten!$C$3:$AD$224,3,0)</f>
        <v>58.744</v>
      </c>
    </row>
    <row r="9" spans="1:5" s="81" customFormat="1" ht="15">
      <c r="A9" s="114">
        <v>45875</v>
      </c>
      <c r="B9" s="94" t="s">
        <v>6</v>
      </c>
      <c r="C9" s="94" t="s">
        <v>16</v>
      </c>
      <c r="D9" s="100">
        <f>VLOOKUP(B9,Punten!$C$3:$AD$224,3,0)</f>
        <v>71.248000000000005</v>
      </c>
      <c r="E9" s="100">
        <f>VLOOKUP(C9,Punten!$C$3:$AD$224,3,0)</f>
        <v>36.027999999999999</v>
      </c>
    </row>
    <row r="10" spans="1:5" s="81" customFormat="1" ht="15">
      <c r="A10" s="92">
        <v>45875</v>
      </c>
      <c r="B10" s="94" t="s">
        <v>5</v>
      </c>
      <c r="C10" s="94" t="s">
        <v>15</v>
      </c>
      <c r="D10" s="100">
        <f>VLOOKUP(B10,Punten!$C$3:$AD$224,3,0)</f>
        <v>54.572000000000003</v>
      </c>
      <c r="E10" s="100">
        <f>VLOOKUP(C10,Punten!$C$3:$AD$224,3,0)</f>
        <v>56.893000000000001</v>
      </c>
    </row>
    <row r="11" spans="1:5" s="81" customFormat="1" ht="15">
      <c r="A11" s="83">
        <v>45876</v>
      </c>
      <c r="B11" s="85" t="s">
        <v>10</v>
      </c>
      <c r="C11" s="85" t="s">
        <v>289</v>
      </c>
      <c r="D11" s="100">
        <f>VLOOKUP(B11,Punten!$C$3:$AD$224,3,0)</f>
        <v>55.038999999999994</v>
      </c>
      <c r="E11" s="100">
        <f>VLOOKUP(C11,Punten!$C$3:$AD$224,3,0)</f>
        <v>68.509999999999991</v>
      </c>
    </row>
    <row r="12" spans="1:5" s="81" customFormat="1" ht="15">
      <c r="A12" s="83">
        <v>45876</v>
      </c>
      <c r="B12" s="85" t="s">
        <v>13</v>
      </c>
      <c r="C12" s="151" t="s">
        <v>14</v>
      </c>
      <c r="D12" s="100">
        <f>VLOOKUP(B12,Punten!$C$3:$AD$224,3,0)</f>
        <v>55.621000000000002</v>
      </c>
      <c r="E12" s="100">
        <f>VLOOKUP(C12,Punten!$C$3:$AD$224,3,0)</f>
        <v>71.852000000000004</v>
      </c>
    </row>
    <row r="13" spans="1:5" s="81" customFormat="1" ht="15">
      <c r="A13" s="92"/>
      <c r="B13" s="94"/>
      <c r="C13" s="94"/>
      <c r="D13" s="100"/>
      <c r="E13" s="102"/>
    </row>
    <row r="14" spans="1:5" s="81" customFormat="1" ht="15">
      <c r="A14" s="83">
        <v>45880</v>
      </c>
      <c r="B14" s="85" t="s">
        <v>14</v>
      </c>
      <c r="C14" s="85" t="s">
        <v>289</v>
      </c>
      <c r="D14" s="100">
        <f>VLOOKUP(B14,Punten!$C$3:$AD$224,4,0)</f>
        <v>59.448000000000008</v>
      </c>
      <c r="E14" s="100">
        <f>VLOOKUP(C14,Punten!$C$3:$AD$224,4,0)</f>
        <v>70.873000000000005</v>
      </c>
    </row>
    <row r="15" spans="1:5" s="81" customFormat="1" ht="15">
      <c r="A15" s="83">
        <v>45880</v>
      </c>
      <c r="B15" s="85" t="s">
        <v>7</v>
      </c>
      <c r="C15" s="85" t="s">
        <v>9</v>
      </c>
      <c r="D15" s="100">
        <f>VLOOKUP(B15,Punten!$C$3:$AD$224,4,0)</f>
        <v>54.28</v>
      </c>
      <c r="E15" s="100">
        <f>VLOOKUP(C15,Punten!$C$3:$AD$224,4,0)</f>
        <v>50.216999999999999</v>
      </c>
    </row>
    <row r="16" spans="1:5" s="81" customFormat="1" ht="15">
      <c r="A16" s="83">
        <v>45880</v>
      </c>
      <c r="B16" s="85" t="s">
        <v>15</v>
      </c>
      <c r="C16" s="85" t="s">
        <v>8</v>
      </c>
      <c r="D16" s="100">
        <f>VLOOKUP(B16,Punten!$C$3:$AD$224,4,0)</f>
        <v>53.670999999999999</v>
      </c>
      <c r="E16" s="100">
        <f>VLOOKUP(C16,Punten!$C$3:$AD$224,4,0)</f>
        <v>63.730999999999995</v>
      </c>
    </row>
    <row r="17" spans="1:5" s="81" customFormat="1" ht="15">
      <c r="A17" s="83">
        <v>45881</v>
      </c>
      <c r="B17" s="85" t="s">
        <v>16</v>
      </c>
      <c r="C17" s="85" t="s">
        <v>290</v>
      </c>
      <c r="D17" s="100">
        <f>VLOOKUP(B17,Punten!$C$3:$AD$224,4,0)</f>
        <v>50.080000000000005</v>
      </c>
      <c r="E17" s="100">
        <f>VLOOKUP(C17,Punten!$C$3:$AD$224,4,0)</f>
        <v>53.87</v>
      </c>
    </row>
    <row r="18" spans="1:5" s="81" customFormat="1" ht="15">
      <c r="A18" s="114">
        <v>45882</v>
      </c>
      <c r="B18" s="85" t="s">
        <v>5</v>
      </c>
      <c r="C18" s="85" t="s">
        <v>13</v>
      </c>
      <c r="D18" s="100">
        <f>VLOOKUP(B18,Punten!$C$3:$AD$224,4,0)</f>
        <v>50.721999999999994</v>
      </c>
      <c r="E18" s="100">
        <f>VLOOKUP(C18,Punten!$C$3:$AD$224,4,0)</f>
        <v>73.137</v>
      </c>
    </row>
    <row r="19" spans="1:5" s="81" customFormat="1" ht="15">
      <c r="A19" s="83">
        <v>45883</v>
      </c>
      <c r="B19" s="85" t="s">
        <v>10</v>
      </c>
      <c r="C19" s="85" t="s">
        <v>11</v>
      </c>
      <c r="D19" s="100">
        <f>VLOOKUP(B19,Punten!$C$3:$AD$224,4,0)</f>
        <v>53.09</v>
      </c>
      <c r="E19" s="100">
        <f>VLOOKUP(C19,Punten!$C$3:$AD$224,4,0)</f>
        <v>55.480000000000004</v>
      </c>
    </row>
    <row r="20" spans="1:5" s="81" customFormat="1" ht="15">
      <c r="A20" s="112">
        <v>45883</v>
      </c>
      <c r="B20" s="116" t="s">
        <v>12</v>
      </c>
      <c r="C20" s="116" t="s">
        <v>6</v>
      </c>
      <c r="D20" s="100">
        <f>VLOOKUP(B20,Punten!$C$3:$AD$224,4,0)</f>
        <v>47.492000000000004</v>
      </c>
      <c r="E20" s="100">
        <f>VLOOKUP(C20,Punten!$C$3:$AD$224,4,0)</f>
        <v>43.012999999999998</v>
      </c>
    </row>
    <row r="21" spans="1:5" s="81" customFormat="1" ht="15">
      <c r="A21" s="92"/>
      <c r="B21" s="94"/>
      <c r="C21" s="94"/>
      <c r="D21" s="100"/>
      <c r="E21" s="102"/>
    </row>
    <row r="22" spans="1:5" s="81" customFormat="1" ht="15">
      <c r="A22" s="92">
        <v>45887</v>
      </c>
      <c r="B22" s="94" t="s">
        <v>11</v>
      </c>
      <c r="C22" s="94" t="s">
        <v>14</v>
      </c>
      <c r="D22" s="100">
        <f>VLOOKUP(B22,Punten!$C$3:$AD$224,5,0)</f>
        <v>66.492000000000004</v>
      </c>
      <c r="E22" s="100">
        <f>VLOOKUP(C22,Punten!$C$3:$AD$224,5,0)</f>
        <v>66.72399999999999</v>
      </c>
    </row>
    <row r="23" spans="1:5" s="81" customFormat="1" ht="15">
      <c r="A23" s="92">
        <v>45887</v>
      </c>
      <c r="B23" s="94" t="s">
        <v>15</v>
      </c>
      <c r="C23" s="94" t="s">
        <v>13</v>
      </c>
      <c r="D23" s="100">
        <f>VLOOKUP(B23,Punten!$C$3:$AD$224,5,0)</f>
        <v>58.344000000000001</v>
      </c>
      <c r="E23" s="100">
        <f>VLOOKUP(C23,Punten!$C$3:$AD$224,5,0)</f>
        <v>42.052999999999997</v>
      </c>
    </row>
    <row r="24" spans="1:5" s="81" customFormat="1" ht="15">
      <c r="A24" s="92">
        <v>45887</v>
      </c>
      <c r="B24" s="94" t="s">
        <v>289</v>
      </c>
      <c r="C24" s="94" t="s">
        <v>5</v>
      </c>
      <c r="D24" s="100">
        <f>VLOOKUP(B24,Punten!$C$3:$AD$224,5,0)</f>
        <v>52.679999999999993</v>
      </c>
      <c r="E24" s="100">
        <f>VLOOKUP(C24,Punten!$C$3:$AD$224,5,0)</f>
        <v>58.742999999999995</v>
      </c>
    </row>
    <row r="25" spans="1:5" s="81" customFormat="1" ht="15">
      <c r="A25" s="114">
        <v>45888</v>
      </c>
      <c r="B25" s="94" t="s">
        <v>9</v>
      </c>
      <c r="C25" s="94" t="s">
        <v>16</v>
      </c>
      <c r="D25" s="100">
        <f>VLOOKUP(B25,Punten!$C$3:$AD$224,5,0)</f>
        <v>70.929000000000002</v>
      </c>
      <c r="E25" s="100">
        <f>VLOOKUP(C25,Punten!$C$3:$AD$224,5,0)</f>
        <v>44.808999999999997</v>
      </c>
    </row>
    <row r="26" spans="1:5" s="81" customFormat="1" ht="15">
      <c r="A26" s="92">
        <v>45888</v>
      </c>
      <c r="B26" s="94" t="s">
        <v>8</v>
      </c>
      <c r="C26" s="94" t="s">
        <v>7</v>
      </c>
      <c r="D26" s="100">
        <f>VLOOKUP(B26,Punten!$C$3:$AD$224,5,0)</f>
        <v>64.975000000000009</v>
      </c>
      <c r="E26" s="100">
        <f>VLOOKUP(C26,Punten!$C$3:$AD$224,5,0)</f>
        <v>53.533999999999992</v>
      </c>
    </row>
    <row r="27" spans="1:5" s="81" customFormat="1" ht="15">
      <c r="A27" s="92">
        <v>45888</v>
      </c>
      <c r="B27" s="94" t="s">
        <v>290</v>
      </c>
      <c r="C27" s="101" t="s">
        <v>12</v>
      </c>
      <c r="D27" s="100">
        <f>VLOOKUP(B27,Punten!$C$3:$AD$224,5,0)</f>
        <v>49.937000000000005</v>
      </c>
      <c r="E27" s="100">
        <f>VLOOKUP(C27,Punten!$C$3:$AD$224,5,0)</f>
        <v>63.683000000000007</v>
      </c>
    </row>
    <row r="28" spans="1:5" s="81" customFormat="1" ht="15">
      <c r="A28" s="92">
        <v>45889</v>
      </c>
      <c r="B28" s="94" t="s">
        <v>6</v>
      </c>
      <c r="C28" s="94" t="s">
        <v>10</v>
      </c>
      <c r="D28" s="100">
        <f>VLOOKUP(B28,Punten!$C$3:$AD$224,5,0)</f>
        <v>49.448999999999998</v>
      </c>
      <c r="E28" s="100">
        <f>VLOOKUP(C28,Punten!$C$3:$AD$224,5,0)</f>
        <v>48.46</v>
      </c>
    </row>
    <row r="29" spans="1:5" s="81" customFormat="1" ht="15">
      <c r="A29" s="92"/>
      <c r="B29" s="94"/>
      <c r="C29" s="94"/>
      <c r="D29" s="100"/>
      <c r="E29" s="102"/>
    </row>
    <row r="30" spans="1:5" s="81" customFormat="1" ht="15">
      <c r="A30" s="92">
        <v>45901</v>
      </c>
      <c r="B30" s="94" t="s">
        <v>14</v>
      </c>
      <c r="C30" s="94" t="s">
        <v>6</v>
      </c>
      <c r="D30" s="100">
        <f>VLOOKUP(B30,Punten!$C$3:$AD$224,6,0)</f>
        <v>55.756</v>
      </c>
      <c r="E30" s="100">
        <f>VLOOKUP(C30,Punten!$C$3:$AD$224,6,0)</f>
        <v>73.731999999999999</v>
      </c>
    </row>
    <row r="31" spans="1:5" s="81" customFormat="1" ht="15">
      <c r="A31" s="92">
        <v>45901</v>
      </c>
      <c r="B31" s="94" t="s">
        <v>7</v>
      </c>
      <c r="C31" s="94" t="s">
        <v>15</v>
      </c>
      <c r="D31" s="100">
        <f>VLOOKUP(B31,Punten!$C$3:$AD$224,6,0)</f>
        <v>42.302999999999997</v>
      </c>
      <c r="E31" s="100">
        <f>VLOOKUP(C31,Punten!$C$3:$AD$224,6,0)</f>
        <v>74.713000000000008</v>
      </c>
    </row>
    <row r="32" spans="1:5" s="81" customFormat="1" ht="15">
      <c r="A32" s="92">
        <v>45902</v>
      </c>
      <c r="B32" s="94" t="s">
        <v>16</v>
      </c>
      <c r="C32" s="94" t="s">
        <v>8</v>
      </c>
      <c r="D32" s="100">
        <f>VLOOKUP(B32,Punten!$C$3:$AD$224,6,0)</f>
        <v>55.581000000000003</v>
      </c>
      <c r="E32" s="100">
        <f>VLOOKUP(C32,Punten!$C$3:$AD$224,6,0)</f>
        <v>56.853999999999999</v>
      </c>
    </row>
    <row r="33" spans="1:5" s="81" customFormat="1" ht="15">
      <c r="A33" s="114">
        <v>45903</v>
      </c>
      <c r="B33" s="94" t="s">
        <v>5</v>
      </c>
      <c r="C33" s="94" t="s">
        <v>11</v>
      </c>
      <c r="D33" s="100">
        <f>VLOOKUP(B33,Punten!$C$3:$AD$224,6,0)</f>
        <v>56.558</v>
      </c>
      <c r="E33" s="100">
        <f>VLOOKUP(C33,Punten!$C$3:$AD$224,6,0)</f>
        <v>56.716000000000001</v>
      </c>
    </row>
    <row r="34" spans="1:5" s="81" customFormat="1" ht="15">
      <c r="A34" s="92">
        <v>45904</v>
      </c>
      <c r="B34" s="94" t="s">
        <v>10</v>
      </c>
      <c r="C34" s="94" t="s">
        <v>290</v>
      </c>
      <c r="D34" s="100">
        <f>VLOOKUP(B34,Punten!$C$3:$AD$224,6,0)</f>
        <v>62.265999999999991</v>
      </c>
      <c r="E34" s="100">
        <f>VLOOKUP(C34,Punten!$C$3:$AD$224,6,0)</f>
        <v>67.581999999999994</v>
      </c>
    </row>
    <row r="35" spans="1:5" s="81" customFormat="1">
      <c r="A35" s="217">
        <v>45936</v>
      </c>
      <c r="B35" s="218" t="s">
        <v>13</v>
      </c>
      <c r="C35" s="216" t="s">
        <v>289</v>
      </c>
      <c r="D35" s="100">
        <f>VLOOKUP(B35,Punten!$C$3:$AD$224,6,0)</f>
        <v>52.417000000000002</v>
      </c>
      <c r="E35" s="100">
        <f>VLOOKUP(C35,Punten!$C$3:$AD$224,6,0)</f>
        <v>64.158999999999992</v>
      </c>
    </row>
    <row r="36" spans="1:5" s="81" customFormat="1" ht="15">
      <c r="A36" s="92">
        <v>45905</v>
      </c>
      <c r="B36" s="94" t="s">
        <v>12</v>
      </c>
      <c r="C36" s="94" t="s">
        <v>9</v>
      </c>
      <c r="D36" s="100">
        <f>VLOOKUP(B36,Punten!$C$3:$AD$224,6,0)</f>
        <v>55.134</v>
      </c>
      <c r="E36" s="100">
        <f>VLOOKUP(C36,Punten!$C$3:$AD$224,6,0)</f>
        <v>55.333999999999996</v>
      </c>
    </row>
    <row r="37" spans="1:5" s="81" customFormat="1" ht="15">
      <c r="A37" s="92"/>
      <c r="B37" s="94"/>
      <c r="C37" s="94"/>
      <c r="D37" s="100"/>
      <c r="E37" s="102"/>
    </row>
    <row r="38" spans="1:5" s="81" customFormat="1" ht="15">
      <c r="A38" s="92">
        <v>45915</v>
      </c>
      <c r="B38" s="94" t="s">
        <v>289</v>
      </c>
      <c r="C38" s="94" t="s">
        <v>15</v>
      </c>
      <c r="D38" s="100">
        <f>VLOOKUP(B38,Punten!$C$3:$AD$224,7,0)</f>
        <v>53.189</v>
      </c>
      <c r="E38" s="100">
        <f>VLOOKUP(C38,Punten!$C$3:$AD$224,7,0)</f>
        <v>53.331999999999994</v>
      </c>
    </row>
    <row r="39" spans="1:5" s="81" customFormat="1" ht="15">
      <c r="A39" s="92">
        <v>45915</v>
      </c>
      <c r="B39" s="94" t="s">
        <v>11</v>
      </c>
      <c r="C39" s="94" t="s">
        <v>13</v>
      </c>
      <c r="D39" s="100">
        <f>VLOOKUP(B39,Punten!$C$3:$AD$224,7,0)</f>
        <v>60.369</v>
      </c>
      <c r="E39" s="100">
        <f>VLOOKUP(C39,Punten!$C$3:$AD$224,7,0)</f>
        <v>55.805</v>
      </c>
    </row>
    <row r="40" spans="1:5" s="81" customFormat="1">
      <c r="A40" s="219">
        <v>45946</v>
      </c>
      <c r="B40" s="216" t="s">
        <v>16</v>
      </c>
      <c r="C40" s="216" t="s">
        <v>7</v>
      </c>
      <c r="D40" s="225">
        <f>VLOOKUP(B40,Punten!$C$3:$AD$224,7,0)</f>
        <v>58.264000000000003</v>
      </c>
      <c r="E40" s="225">
        <f>VLOOKUP(C40,Punten!$C$3:$AD$224,7,0)</f>
        <v>53.423999999999999</v>
      </c>
    </row>
    <row r="41" spans="1:5" s="81" customFormat="1" ht="15">
      <c r="A41" s="92">
        <v>45916</v>
      </c>
      <c r="B41" s="94" t="s">
        <v>290</v>
      </c>
      <c r="C41" s="94" t="s">
        <v>14</v>
      </c>
      <c r="D41" s="100">
        <f>VLOOKUP(B41,Punten!$C$3:$AD$224,7,0)</f>
        <v>58.063000000000002</v>
      </c>
      <c r="E41" s="100">
        <f>VLOOKUP(C41,Punten!$C$3:$AD$224,7,0)</f>
        <v>61.228999999999999</v>
      </c>
    </row>
    <row r="42" spans="1:5" s="81" customFormat="1" ht="15">
      <c r="A42" s="92">
        <v>45916</v>
      </c>
      <c r="B42" s="94" t="s">
        <v>8</v>
      </c>
      <c r="C42" s="94" t="s">
        <v>12</v>
      </c>
      <c r="D42" s="100">
        <f>VLOOKUP(B42,Punten!$C$3:$AD$224,7,0)</f>
        <v>73.739000000000004</v>
      </c>
      <c r="E42" s="100">
        <f>VLOOKUP(C42,Punten!$C$3:$AD$224,7,0)</f>
        <v>68.933999999999997</v>
      </c>
    </row>
    <row r="43" spans="1:5" s="81" customFormat="1">
      <c r="A43" s="219">
        <v>45958</v>
      </c>
      <c r="B43" s="216" t="s">
        <v>9</v>
      </c>
      <c r="C43" s="216" t="s">
        <v>10</v>
      </c>
      <c r="D43" s="225">
        <f>VLOOKUP(B43,Punten!$C$3:$AD$224,7,0)</f>
        <v>61.108000000000004</v>
      </c>
      <c r="E43" s="225">
        <f>VLOOKUP(C43,Punten!$C$3:$AD$224,7,0)</f>
        <v>52.704000000000001</v>
      </c>
    </row>
    <row r="44" spans="1:5" s="81" customFormat="1" ht="15">
      <c r="A44" s="92">
        <v>45917</v>
      </c>
      <c r="B44" s="101" t="s">
        <v>6</v>
      </c>
      <c r="C44" s="94" t="s">
        <v>5</v>
      </c>
      <c r="D44" s="100">
        <f>VLOOKUP(B44,Punten!$C$3:$AD$224,7,0)</f>
        <v>44.600999999999999</v>
      </c>
      <c r="E44" s="100">
        <f>VLOOKUP(C44,Punten!$C$3:$AD$224,7,0)</f>
        <v>73.597000000000008</v>
      </c>
    </row>
    <row r="45" spans="1:5" s="81" customFormat="1" ht="15">
      <c r="A45" s="93"/>
      <c r="B45" s="94"/>
      <c r="C45" s="94"/>
      <c r="D45" s="100"/>
      <c r="E45" s="100"/>
    </row>
    <row r="46" spans="1:5" s="81" customFormat="1" ht="15">
      <c r="A46" s="93">
        <v>45929</v>
      </c>
      <c r="B46" s="94" t="s">
        <v>14</v>
      </c>
      <c r="C46" s="94" t="s">
        <v>9</v>
      </c>
      <c r="D46" s="100">
        <f>VLOOKUP(B46,Punten!$C$3:$AD$224,8,0)</f>
        <v>54.995000000000005</v>
      </c>
      <c r="E46" s="100">
        <f>VLOOKUP(C46,Punten!$C$3:$AD$224,8,0)</f>
        <v>57.887</v>
      </c>
    </row>
    <row r="47" spans="1:5" s="81" customFormat="1" ht="15">
      <c r="A47" s="92">
        <v>45929</v>
      </c>
      <c r="B47" s="101" t="s">
        <v>289</v>
      </c>
      <c r="C47" s="94" t="s">
        <v>11</v>
      </c>
      <c r="D47" s="100">
        <f>VLOOKUP(B47,Punten!$C$3:$AD$224,8,0)</f>
        <v>63.293999999999997</v>
      </c>
      <c r="E47" s="100">
        <f>VLOOKUP(C47,Punten!$C$3:$AD$224,8,0)</f>
        <v>52.575000000000003</v>
      </c>
    </row>
    <row r="48" spans="1:5" s="81" customFormat="1" ht="15">
      <c r="A48" s="92">
        <v>45929</v>
      </c>
      <c r="B48" s="94" t="s">
        <v>15</v>
      </c>
      <c r="C48" s="94" t="s">
        <v>16</v>
      </c>
      <c r="D48" s="100">
        <f>VLOOKUP(B48,Punten!$C$3:$AD$224,8,0)</f>
        <v>57.743000000000002</v>
      </c>
      <c r="E48" s="100">
        <f>VLOOKUP(C48,Punten!$C$3:$AD$224,8,0)</f>
        <v>50.75</v>
      </c>
    </row>
    <row r="49" spans="1:5" s="81" customFormat="1" ht="15">
      <c r="A49" s="92">
        <v>45931</v>
      </c>
      <c r="B49" s="94" t="s">
        <v>5</v>
      </c>
      <c r="C49" s="94" t="s">
        <v>290</v>
      </c>
      <c r="D49" s="100">
        <f>VLOOKUP(B49,Punten!$C$3:$AD$224,8,0)</f>
        <v>73.63</v>
      </c>
      <c r="E49" s="100">
        <f>VLOOKUP(C49,Punten!$C$3:$AD$224,8,0)</f>
        <v>59.263000000000005</v>
      </c>
    </row>
    <row r="50" spans="1:5" s="81" customFormat="1" ht="15">
      <c r="A50" s="92">
        <v>45932</v>
      </c>
      <c r="B50" s="94" t="s">
        <v>10</v>
      </c>
      <c r="C50" s="94" t="s">
        <v>8</v>
      </c>
      <c r="D50" s="100">
        <f>VLOOKUP(B50,Punten!$C$3:$AD$224,8,0)</f>
        <v>52.085000000000001</v>
      </c>
      <c r="E50" s="100">
        <f>VLOOKUP(C50,Punten!$C$3:$AD$224,8,0)</f>
        <v>85.558999999999997</v>
      </c>
    </row>
    <row r="51" spans="1:5" s="81" customFormat="1" ht="15">
      <c r="A51" s="93">
        <v>45932</v>
      </c>
      <c r="B51" s="94" t="s">
        <v>13</v>
      </c>
      <c r="C51" s="94" t="s">
        <v>6</v>
      </c>
      <c r="D51" s="100">
        <f>VLOOKUP(B51,Punten!$C$3:$AD$224,8,0)</f>
        <v>73.312999999999988</v>
      </c>
      <c r="E51" s="100">
        <f>VLOOKUP(C51,Punten!$C$3:$AD$224,8,0)</f>
        <v>53.527999999999999</v>
      </c>
    </row>
    <row r="52" spans="1:5" s="81" customFormat="1" ht="15" customHeight="1">
      <c r="A52" s="92">
        <v>45933</v>
      </c>
      <c r="B52" s="101" t="s">
        <v>12</v>
      </c>
      <c r="C52" s="94" t="s">
        <v>7</v>
      </c>
      <c r="D52" s="100">
        <f>VLOOKUP(B52,Punten!$C$3:$AD$224,8,0)</f>
        <v>60.25</v>
      </c>
      <c r="E52" s="100">
        <f>VLOOKUP(C52,Punten!$C$3:$AD$224,8,0)</f>
        <v>49.458999999999996</v>
      </c>
    </row>
    <row r="53" spans="1:5" s="81" customFormat="1" ht="15" customHeight="1">
      <c r="A53" s="92"/>
      <c r="B53" s="94"/>
      <c r="C53" s="94"/>
      <c r="D53" s="100"/>
      <c r="E53" s="103"/>
    </row>
    <row r="54" spans="1:5" s="81" customFormat="1" ht="15" customHeight="1">
      <c r="A54" s="92">
        <v>45943</v>
      </c>
      <c r="B54" s="94" t="s">
        <v>7</v>
      </c>
      <c r="C54" s="94" t="s">
        <v>10</v>
      </c>
      <c r="D54" s="100">
        <f>VLOOKUP(B54,Punten!$C$3:$AD$224,9,0)</f>
        <v>64.655000000000001</v>
      </c>
      <c r="E54" s="100">
        <f>VLOOKUP(C54,Punten!$C$3:$AD$224,9,0)</f>
        <v>52.633000000000003</v>
      </c>
    </row>
    <row r="55" spans="1:5" s="81" customFormat="1" ht="15" customHeight="1">
      <c r="A55" s="166">
        <v>45943</v>
      </c>
      <c r="B55" s="165" t="s">
        <v>14</v>
      </c>
      <c r="C55" s="165" t="s">
        <v>8</v>
      </c>
      <c r="D55" s="100">
        <f>VLOOKUP(B55,Punten!$C$3:$AD$224,9,0)</f>
        <v>72.176999999999992</v>
      </c>
      <c r="E55" s="100">
        <f>VLOOKUP(C55,Punten!$C$3:$AD$224,9,0)</f>
        <v>54.441000000000003</v>
      </c>
    </row>
    <row r="56" spans="1:5" s="81" customFormat="1" ht="15">
      <c r="A56" s="92">
        <v>45944</v>
      </c>
      <c r="B56" s="94" t="s">
        <v>16</v>
      </c>
      <c r="C56" s="94" t="s">
        <v>12</v>
      </c>
      <c r="D56" s="100">
        <f>VLOOKUP(B56,Punten!$C$3:$AD$224,9,0)</f>
        <v>49.109000000000002</v>
      </c>
      <c r="E56" s="100">
        <f>VLOOKUP(C56,Punten!$C$3:$AD$224,9,0)</f>
        <v>72.751000000000005</v>
      </c>
    </row>
    <row r="57" spans="1:5" s="81" customFormat="1" ht="15">
      <c r="A57" s="92">
        <v>45944</v>
      </c>
      <c r="B57" s="94" t="s">
        <v>290</v>
      </c>
      <c r="C57" s="94" t="s">
        <v>13</v>
      </c>
      <c r="D57" s="100">
        <f>VLOOKUP(B57,Punten!$C$3:$AD$224,9,0)</f>
        <v>66.293000000000006</v>
      </c>
      <c r="E57" s="100">
        <f>VLOOKUP(C57,Punten!$C$3:$AD$224,9,0)</f>
        <v>65.954999999999998</v>
      </c>
    </row>
    <row r="58" spans="1:5" s="81" customFormat="1" ht="15">
      <c r="A58" s="114">
        <v>45944</v>
      </c>
      <c r="B58" s="94" t="s">
        <v>9</v>
      </c>
      <c r="C58" s="94" t="s">
        <v>5</v>
      </c>
      <c r="D58" s="100">
        <f>VLOOKUP(B58,Punten!$C$3:$AD$224,9,0)</f>
        <v>56.863</v>
      </c>
      <c r="E58" s="100">
        <f>VLOOKUP(C58,Punten!$C$3:$AD$224,9,0)</f>
        <v>50.501000000000005</v>
      </c>
    </row>
    <row r="59" spans="1:5">
      <c r="A59" s="92">
        <v>45945</v>
      </c>
      <c r="B59" s="101" t="s">
        <v>6</v>
      </c>
      <c r="C59" s="94" t="s">
        <v>289</v>
      </c>
      <c r="D59" s="100">
        <f>VLOOKUP(B59,Punten!$C$3:$AD$224,9,0)</f>
        <v>60.754000000000005</v>
      </c>
      <c r="E59" s="100">
        <f>VLOOKUP(C59,Punten!$C$3:$AD$224,9,0)</f>
        <v>50.867999999999995</v>
      </c>
    </row>
    <row r="60" spans="1:5">
      <c r="A60" s="92">
        <v>45946</v>
      </c>
      <c r="B60" s="94" t="s">
        <v>11</v>
      </c>
      <c r="C60" s="94" t="s">
        <v>15</v>
      </c>
      <c r="D60" s="100">
        <f>VLOOKUP(B60,Punten!$C$3:$AD$224,9,0)</f>
        <v>47.510999999999996</v>
      </c>
      <c r="E60" s="100">
        <f>VLOOKUP(C60,Punten!$C$3:$AD$224,9,0)</f>
        <v>63.052000000000007</v>
      </c>
    </row>
    <row r="61" spans="1:5" ht="10.199999999999999" customHeight="1">
      <c r="A61" s="92"/>
      <c r="B61" s="94"/>
      <c r="C61" s="94"/>
      <c r="D61" s="100"/>
      <c r="E61" s="100"/>
    </row>
    <row r="62" spans="1:5" ht="15" customHeight="1">
      <c r="A62" s="92">
        <v>45957</v>
      </c>
      <c r="B62" s="94" t="s">
        <v>14</v>
      </c>
      <c r="C62" s="101" t="s">
        <v>7</v>
      </c>
      <c r="D62" s="100">
        <f>VLOOKUP(B62,Punten!$C$3:$AD$224,10,0)</f>
        <v>61.198999999999998</v>
      </c>
      <c r="E62" s="100">
        <f>VLOOKUP(C62,Punten!$C$3:$AD$224,10,0)</f>
        <v>56.524999999999999</v>
      </c>
    </row>
    <row r="63" spans="1:5" ht="15" customHeight="1">
      <c r="A63" s="92">
        <v>45957</v>
      </c>
      <c r="B63" s="94" t="s">
        <v>289</v>
      </c>
      <c r="C63" s="94" t="s">
        <v>290</v>
      </c>
      <c r="D63" s="100">
        <f>VLOOKUP(B63,Punten!$C$3:$AD$224,10,0)</f>
        <v>53.39</v>
      </c>
      <c r="E63" s="100">
        <f>VLOOKUP(C63,Punten!$C$3:$AD$224,10,0)</f>
        <v>46.456000000000003</v>
      </c>
    </row>
    <row r="64" spans="1:5" ht="15" customHeight="1">
      <c r="A64" s="92">
        <v>45957</v>
      </c>
      <c r="B64" s="94" t="s">
        <v>11</v>
      </c>
      <c r="C64" s="94" t="s">
        <v>6</v>
      </c>
      <c r="D64" s="100">
        <f>VLOOKUP(B64,Punten!$C$3:$AD$224,10,0)</f>
        <v>60.869000000000007</v>
      </c>
      <c r="E64" s="100">
        <f>VLOOKUP(C64,Punten!$C$3:$AD$224,10,0)</f>
        <v>60.735999999999997</v>
      </c>
    </row>
    <row r="65" spans="1:6" ht="15" customHeight="1">
      <c r="A65" s="114">
        <v>45957</v>
      </c>
      <c r="B65" s="94" t="s">
        <v>15</v>
      </c>
      <c r="C65" s="94" t="s">
        <v>12</v>
      </c>
      <c r="D65" s="100">
        <f>VLOOKUP(B65,Punten!$C$3:$AD$224,10,0)</f>
        <v>62.817999999999998</v>
      </c>
      <c r="E65" s="100">
        <f>VLOOKUP(C65,Punten!$C$3:$AD$224,10,0)</f>
        <v>70.790000000000006</v>
      </c>
    </row>
    <row r="66" spans="1:6" ht="15" customHeight="1">
      <c r="A66" s="166">
        <v>45958</v>
      </c>
      <c r="B66" s="165" t="s">
        <v>8</v>
      </c>
      <c r="C66" s="165" t="s">
        <v>5</v>
      </c>
      <c r="D66" s="100">
        <f>VLOOKUP(B66,Punten!$C$3:$AD$224,10,0)</f>
        <v>57.887</v>
      </c>
      <c r="E66" s="100">
        <f>VLOOKUP(C66,Punten!$C$3:$AD$224,10,0)</f>
        <v>56.466000000000001</v>
      </c>
    </row>
    <row r="67" spans="1:6" ht="15" customHeight="1">
      <c r="A67" s="92">
        <v>45960</v>
      </c>
      <c r="B67" s="94" t="s">
        <v>13</v>
      </c>
      <c r="C67" s="94" t="s">
        <v>9</v>
      </c>
      <c r="D67" s="100">
        <f>VLOOKUP(B67,Punten!$C$3:$AD$224,10,0)</f>
        <v>68.323999999999998</v>
      </c>
      <c r="E67" s="100">
        <f>VLOOKUP(C67,Punten!$C$3:$AD$224,10,0)</f>
        <v>50.805999999999997</v>
      </c>
    </row>
    <row r="68" spans="1:6" ht="15" customHeight="1">
      <c r="A68" s="92">
        <v>45960</v>
      </c>
      <c r="B68" s="94" t="s">
        <v>10</v>
      </c>
      <c r="C68" s="94" t="s">
        <v>16</v>
      </c>
      <c r="D68" s="100">
        <f>VLOOKUP(B68,Punten!$C$3:$AD$224,10,0)</f>
        <v>63.644000000000005</v>
      </c>
      <c r="E68" s="100">
        <f>VLOOKUP(C68,Punten!$C$3:$AD$224,10,0)</f>
        <v>43.688000000000002</v>
      </c>
    </row>
    <row r="69" spans="1:6" ht="10.199999999999999" customHeight="1">
      <c r="A69" s="92"/>
      <c r="B69" s="94"/>
      <c r="C69" s="94"/>
      <c r="D69" s="100"/>
      <c r="E69" s="100"/>
    </row>
    <row r="70" spans="1:6" ht="15" customHeight="1">
      <c r="A70" s="92">
        <v>45971</v>
      </c>
      <c r="B70" s="94" t="s">
        <v>7</v>
      </c>
      <c r="C70" s="94" t="s">
        <v>5</v>
      </c>
      <c r="D70" s="100">
        <f>VLOOKUP(B70,Punten!$C$3:$AD$224,11,0)</f>
        <v>58.667000000000002</v>
      </c>
      <c r="E70" s="100">
        <f>VLOOKUP(C70,Punten!$C$3:$AD$224,11,0)</f>
        <v>60.411999999999999</v>
      </c>
    </row>
    <row r="71" spans="1:6" ht="15" customHeight="1">
      <c r="A71" s="112">
        <v>45971</v>
      </c>
      <c r="B71" s="116" t="s">
        <v>16</v>
      </c>
      <c r="C71" s="116" t="s">
        <v>14</v>
      </c>
      <c r="D71" s="100">
        <f>VLOOKUP(B71,Punten!$C$3:$AD$224,11,0)</f>
        <v>76.480999999999995</v>
      </c>
      <c r="E71" s="100">
        <f>VLOOKUP(C71,Punten!$C$3:$AD$224,11,0)</f>
        <v>71.329000000000008</v>
      </c>
    </row>
    <row r="72" spans="1:6" ht="15" customHeight="1">
      <c r="A72" s="92">
        <v>45973</v>
      </c>
      <c r="B72" s="94" t="s">
        <v>6</v>
      </c>
      <c r="C72" s="94" t="s">
        <v>15</v>
      </c>
      <c r="D72" s="100">
        <f>VLOOKUP(B72,Punten!$C$3:$AD$224,11,0)</f>
        <v>67.745999999999995</v>
      </c>
      <c r="E72" s="100">
        <f>VLOOKUP(C72,Punten!$C$3:$AD$224,11,0)</f>
        <v>57.384</v>
      </c>
    </row>
    <row r="73" spans="1:6" ht="15" customHeight="1">
      <c r="A73" s="112">
        <v>45974</v>
      </c>
      <c r="B73" s="116" t="s">
        <v>290</v>
      </c>
      <c r="C73" s="116" t="s">
        <v>11</v>
      </c>
      <c r="D73" s="100">
        <f>VLOOKUP(B73,Punten!$C$3:$AD$224,11,0)</f>
        <v>54.584000000000003</v>
      </c>
      <c r="E73" s="100">
        <f>VLOOKUP(C73,Punten!$C$3:$AD$224,11,0)</f>
        <v>65.575000000000003</v>
      </c>
    </row>
    <row r="74" spans="1:6" ht="15" customHeight="1">
      <c r="A74" s="166">
        <v>45974</v>
      </c>
      <c r="B74" s="165" t="s">
        <v>13</v>
      </c>
      <c r="C74" s="165" t="s">
        <v>8</v>
      </c>
      <c r="D74" s="225">
        <f>VLOOKUP(B74,Punten!$C$3:$AD$224,11,0)</f>
        <v>67.024999999999991</v>
      </c>
      <c r="E74" s="225">
        <f>VLOOKUP(C74,Punten!$C$3:$AD$224,11,0)</f>
        <v>73.556000000000012</v>
      </c>
    </row>
    <row r="75" spans="1:6" ht="15" customHeight="1">
      <c r="A75" s="113">
        <v>45974</v>
      </c>
      <c r="B75" s="116" t="s">
        <v>9</v>
      </c>
      <c r="C75" s="116" t="s">
        <v>289</v>
      </c>
      <c r="D75" s="100">
        <f>VLOOKUP(B75,Punten!$C$3:$AD$224,11,0)</f>
        <v>71.91</v>
      </c>
      <c r="E75" s="100">
        <f>VLOOKUP(C75,Punten!$C$3:$AD$224,11,0)</f>
        <v>65.765000000000001</v>
      </c>
    </row>
    <row r="76" spans="1:6" ht="15" customHeight="1">
      <c r="A76" s="92">
        <v>45975</v>
      </c>
      <c r="B76" s="94" t="s">
        <v>12</v>
      </c>
      <c r="C76" s="94" t="s">
        <v>10</v>
      </c>
      <c r="D76" s="100">
        <f>VLOOKUP(B76,Punten!$C$3:$AD$224,11,0)</f>
        <v>49.686999999999998</v>
      </c>
      <c r="E76" s="100">
        <f>VLOOKUP(C76,Punten!$C$3:$AD$224,11,0)</f>
        <v>53.924000000000007</v>
      </c>
    </row>
    <row r="77" spans="1:6" ht="10.199999999999999" customHeight="1">
      <c r="A77" s="92"/>
      <c r="B77" s="94"/>
      <c r="C77" s="94"/>
      <c r="D77" s="100"/>
      <c r="E77" s="100"/>
    </row>
    <row r="78" spans="1:6" ht="15" customHeight="1">
      <c r="A78" s="92">
        <v>45985</v>
      </c>
      <c r="B78" s="94" t="s">
        <v>289</v>
      </c>
      <c r="C78" s="94" t="s">
        <v>8</v>
      </c>
      <c r="D78" s="100">
        <f>VLOOKUP(B78,Punten!$C$3:$AD$224,12,0)</f>
        <v>63.083999999999996</v>
      </c>
      <c r="E78" s="100">
        <f>VLOOKUP(C78,Punten!$C$3:$AD$224,12,0)</f>
        <v>48.582999999999998</v>
      </c>
    </row>
    <row r="79" spans="1:6" ht="15" customHeight="1">
      <c r="A79" s="92">
        <v>45985</v>
      </c>
      <c r="B79" s="94" t="s">
        <v>14</v>
      </c>
      <c r="C79" s="94" t="s">
        <v>12</v>
      </c>
      <c r="D79" s="100">
        <f>VLOOKUP(B79,Punten!$C$3:$AD$224,12,0)</f>
        <v>59.75</v>
      </c>
      <c r="E79" s="100">
        <f>VLOOKUP(C79,Punten!$C$3:$AD$224,12,0)</f>
        <v>66.570999999999998</v>
      </c>
    </row>
    <row r="80" spans="1:6" ht="15" customHeight="1">
      <c r="A80" s="93">
        <v>45985</v>
      </c>
      <c r="B80" s="94" t="s">
        <v>15</v>
      </c>
      <c r="C80" s="94" t="s">
        <v>10</v>
      </c>
      <c r="D80" s="100">
        <f>VLOOKUP(B80,Punten!$C$3:$AD$224,12,0)</f>
        <v>71.882000000000005</v>
      </c>
      <c r="E80" s="100">
        <f>VLOOKUP(C80,Punten!$C$3:$AD$224,12,0)</f>
        <v>53.023000000000003</v>
      </c>
      <c r="F80" s="100"/>
    </row>
    <row r="81" spans="1:5" ht="15" customHeight="1">
      <c r="A81" s="92">
        <v>45985</v>
      </c>
      <c r="B81" s="101" t="s">
        <v>11</v>
      </c>
      <c r="C81" s="94" t="s">
        <v>9</v>
      </c>
      <c r="D81" s="100">
        <f>VLOOKUP(B81,Punten!$C$3:$AD$224,12,0)</f>
        <v>52.470999999999997</v>
      </c>
      <c r="E81" s="100">
        <f>VLOOKUP(C81,Punten!$C$3:$AD$224,12,0)</f>
        <v>50.755000000000003</v>
      </c>
    </row>
    <row r="82" spans="1:5" ht="15" customHeight="1">
      <c r="A82" s="92">
        <v>45987</v>
      </c>
      <c r="B82" s="94" t="s">
        <v>6</v>
      </c>
      <c r="C82" s="94" t="s">
        <v>290</v>
      </c>
      <c r="D82" s="100">
        <f>VLOOKUP(B82,Punten!$C$3:$AD$224,12,0)</f>
        <v>53.038000000000004</v>
      </c>
      <c r="E82" s="100">
        <f>VLOOKUP(C82,Punten!$C$3:$AD$224,12,0)</f>
        <v>54.859000000000009</v>
      </c>
    </row>
    <row r="83" spans="1:5" ht="15" customHeight="1">
      <c r="A83" s="114">
        <v>45987</v>
      </c>
      <c r="B83" s="94" t="s">
        <v>5</v>
      </c>
      <c r="C83" s="94" t="s">
        <v>16</v>
      </c>
      <c r="D83" s="100">
        <f>VLOOKUP(B83,Punten!$C$3:$AD$224,12,0)</f>
        <v>62.913999999999994</v>
      </c>
      <c r="E83" s="100">
        <f>VLOOKUP(C83,Punten!$C$3:$AD$224,12,0)</f>
        <v>46.372999999999998</v>
      </c>
    </row>
    <row r="84" spans="1:5" ht="15" customHeight="1">
      <c r="A84" s="93">
        <v>45988</v>
      </c>
      <c r="B84" s="94" t="s">
        <v>13</v>
      </c>
      <c r="C84" s="101" t="s">
        <v>7</v>
      </c>
      <c r="D84" s="100">
        <f>VLOOKUP(B84,Punten!$C$3:$AD$224,12,0)</f>
        <v>52.161999999999999</v>
      </c>
      <c r="E84" s="100">
        <f>VLOOKUP(C84,Punten!$C$3:$AD$224,12,0)</f>
        <v>41.629000000000005</v>
      </c>
    </row>
    <row r="85" spans="1:5" ht="10.199999999999999" customHeight="1">
      <c r="A85" s="92"/>
      <c r="B85" s="94"/>
      <c r="C85" s="94"/>
      <c r="D85" s="100"/>
      <c r="E85" s="100"/>
    </row>
    <row r="86" spans="1:5" ht="15" customHeight="1">
      <c r="A86" s="92">
        <v>45992</v>
      </c>
      <c r="B86" s="94" t="s">
        <v>7</v>
      </c>
      <c r="C86" s="101" t="s">
        <v>289</v>
      </c>
      <c r="D86" s="100">
        <f>VLOOKUP(B86,Punten!$C$3:$AD$224,13,0)</f>
        <v>47.802</v>
      </c>
      <c r="E86" s="100">
        <f>VLOOKUP(C86,Punten!$C$3:$AD$224,13,0)</f>
        <v>57.427000000000007</v>
      </c>
    </row>
    <row r="87" spans="1:5" ht="15" customHeight="1">
      <c r="A87" s="164">
        <v>45992</v>
      </c>
      <c r="B87" s="165" t="s">
        <v>14</v>
      </c>
      <c r="C87" s="165" t="s">
        <v>10</v>
      </c>
      <c r="D87" s="100">
        <f>VLOOKUP(B87,Punten!$C$3:$AD$224,13,0)</f>
        <v>60.125</v>
      </c>
      <c r="E87" s="100">
        <f>VLOOKUP(C87,Punten!$C$3:$AD$224,13,0)</f>
        <v>67.561000000000007</v>
      </c>
    </row>
    <row r="88" spans="1:5" ht="15" customHeight="1">
      <c r="A88" s="92">
        <v>45993</v>
      </c>
      <c r="B88" s="94" t="s">
        <v>8</v>
      </c>
      <c r="C88" s="94" t="s">
        <v>11</v>
      </c>
      <c r="D88" s="100">
        <f>VLOOKUP(B88,Punten!$C$3:$AD$224,13,0)</f>
        <v>69.228999999999999</v>
      </c>
      <c r="E88" s="100">
        <f>VLOOKUP(C88,Punten!$C$3:$AD$224,13,0)</f>
        <v>66.668999999999997</v>
      </c>
    </row>
    <row r="89" spans="1:5" ht="15" customHeight="1">
      <c r="A89" s="92">
        <v>45993</v>
      </c>
      <c r="B89" s="94" t="s">
        <v>9</v>
      </c>
      <c r="C89" s="94" t="s">
        <v>6</v>
      </c>
      <c r="D89" s="100">
        <f>VLOOKUP(B89,Punten!$C$3:$AD$224,13,0)</f>
        <v>71.817000000000007</v>
      </c>
      <c r="E89" s="100">
        <f>VLOOKUP(C89,Punten!$C$3:$AD$224,13,0)</f>
        <v>52.012999999999998</v>
      </c>
    </row>
    <row r="90" spans="1:5" ht="15" customHeight="1">
      <c r="A90" s="92">
        <v>45993</v>
      </c>
      <c r="B90" s="94" t="s">
        <v>16</v>
      </c>
      <c r="C90" s="94" t="s">
        <v>13</v>
      </c>
      <c r="D90" s="100">
        <f>VLOOKUP(B90,Punten!$C$3:$AD$224,13,0)</f>
        <v>61.230999999999995</v>
      </c>
      <c r="E90" s="100">
        <f>VLOOKUP(C90,Punten!$C$3:$AD$224,13,0)</f>
        <v>68.407000000000011</v>
      </c>
    </row>
    <row r="91" spans="1:5" ht="15" customHeight="1">
      <c r="A91" s="92">
        <v>45993</v>
      </c>
      <c r="B91" s="94" t="s">
        <v>290</v>
      </c>
      <c r="C91" s="94" t="s">
        <v>15</v>
      </c>
      <c r="D91" s="100">
        <f>VLOOKUP(B91,Punten!$C$3:$AD$224,13,0)</f>
        <v>65.5</v>
      </c>
      <c r="E91" s="100">
        <f>VLOOKUP(C91,Punten!$C$3:$AD$224,13,0)</f>
        <v>61.686</v>
      </c>
    </row>
    <row r="92" spans="1:5" ht="15" customHeight="1">
      <c r="A92" s="93">
        <v>45996</v>
      </c>
      <c r="B92" s="94" t="s">
        <v>12</v>
      </c>
      <c r="C92" s="94" t="s">
        <v>5</v>
      </c>
      <c r="D92" s="100">
        <f>VLOOKUP(B92,Punten!$C$3:$AD$224,13,0)</f>
        <v>42.208999999999996</v>
      </c>
      <c r="E92" s="100">
        <f>VLOOKUP(C92,Punten!$C$3:$AD$224,13,0)</f>
        <v>67.533000000000001</v>
      </c>
    </row>
    <row r="93" spans="1:5" ht="10.199999999999999" customHeight="1">
      <c r="A93" s="92"/>
      <c r="B93" s="94"/>
      <c r="C93" s="94"/>
      <c r="D93" s="100"/>
      <c r="E93" s="100"/>
    </row>
    <row r="94" spans="1:5" ht="15" customHeight="1">
      <c r="A94" s="92">
        <v>45999</v>
      </c>
      <c r="B94" s="101" t="s">
        <v>15</v>
      </c>
      <c r="C94" s="94" t="s">
        <v>14</v>
      </c>
      <c r="D94" s="100">
        <f>VLOOKUP(B94,Punten!$C$3:$AD$224,14,0)</f>
        <v>61.689</v>
      </c>
      <c r="E94" s="100">
        <f>VLOOKUP(C94,Punten!$C$3:$AD$224,14,0)</f>
        <v>65.843999999999994</v>
      </c>
    </row>
    <row r="95" spans="1:5" ht="15" customHeight="1">
      <c r="A95" s="92">
        <v>45999</v>
      </c>
      <c r="B95" s="94" t="s">
        <v>11</v>
      </c>
      <c r="C95" s="94" t="s">
        <v>7</v>
      </c>
      <c r="D95" s="100">
        <f>VLOOKUP(B95,Punten!$C$3:$AD$224,14,0)</f>
        <v>59.680999999999997</v>
      </c>
      <c r="E95" s="100">
        <f>VLOOKUP(C95,Punten!$C$3:$AD$224,14,0)</f>
        <v>53.382999999999996</v>
      </c>
    </row>
    <row r="96" spans="1:5" ht="15" customHeight="1">
      <c r="A96" s="92">
        <v>45999</v>
      </c>
      <c r="B96" s="94" t="s">
        <v>289</v>
      </c>
      <c r="C96" s="94" t="s">
        <v>16</v>
      </c>
      <c r="D96" s="100">
        <f>VLOOKUP(B96,Punten!$C$3:$AD$224,14,0)</f>
        <v>46.090999999999994</v>
      </c>
      <c r="E96" s="100">
        <f>VLOOKUP(C96,Punten!$C$3:$AD$224,14,0)</f>
        <v>43.292000000000002</v>
      </c>
    </row>
    <row r="97" spans="1:7" ht="15" customHeight="1">
      <c r="A97" s="93">
        <v>46000</v>
      </c>
      <c r="B97" s="94" t="s">
        <v>290</v>
      </c>
      <c r="C97" s="94" t="s">
        <v>9</v>
      </c>
      <c r="D97" s="100">
        <f>VLOOKUP(B97,Punten!$C$3:$AD$224,14,0)</f>
        <v>74.555999999999997</v>
      </c>
      <c r="E97" s="100">
        <f>VLOOKUP(C97,Punten!$C$3:$AD$224,14,0)</f>
        <v>60.03</v>
      </c>
      <c r="F97" s="100"/>
    </row>
    <row r="98" spans="1:7" ht="15" customHeight="1">
      <c r="A98" s="92">
        <v>46001</v>
      </c>
      <c r="B98" s="94" t="s">
        <v>6</v>
      </c>
      <c r="C98" s="94" t="s">
        <v>8</v>
      </c>
      <c r="D98" s="100">
        <f>VLOOKUP(B98,Punten!$C$3:$AD$224,14,0)</f>
        <v>54.676000000000002</v>
      </c>
      <c r="E98" s="100">
        <f>VLOOKUP(C98,Punten!$C$3:$AD$224,14,0)</f>
        <v>75.402000000000001</v>
      </c>
    </row>
    <row r="99" spans="1:7" ht="15" customHeight="1">
      <c r="A99" s="122">
        <v>46001</v>
      </c>
      <c r="B99" s="152" t="s">
        <v>5</v>
      </c>
      <c r="C99" s="152" t="s">
        <v>10</v>
      </c>
      <c r="D99" s="100">
        <f>VLOOKUP(B99,Punten!$C$3:$AD$224,14,0)</f>
        <v>53.646999999999998</v>
      </c>
      <c r="E99" s="100">
        <f>VLOOKUP(C99,Punten!$C$3:$AD$224,14,0)</f>
        <v>53.763999999999996</v>
      </c>
    </row>
    <row r="100" spans="1:7" ht="15" customHeight="1">
      <c r="A100" s="93">
        <v>46002</v>
      </c>
      <c r="B100" s="94" t="s">
        <v>13</v>
      </c>
      <c r="C100" s="94" t="s">
        <v>12</v>
      </c>
      <c r="D100" s="100">
        <f>VLOOKUP(B100,Punten!$C$3:$AD$224,14,0)</f>
        <v>56.548999999999999</v>
      </c>
      <c r="E100" s="100">
        <f>VLOOKUP(C100,Punten!$C$3:$AD$224,14,0)</f>
        <v>56.846999999999994</v>
      </c>
    </row>
    <row r="101" spans="1:7" ht="10.199999999999999" customHeight="1">
      <c r="A101" s="92"/>
      <c r="B101" s="94"/>
      <c r="C101" s="94"/>
      <c r="D101" s="100"/>
      <c r="E101" s="100"/>
    </row>
    <row r="102" spans="1:7" ht="15" customHeight="1">
      <c r="A102" s="92">
        <v>46006</v>
      </c>
      <c r="B102" s="94" t="s">
        <v>7</v>
      </c>
      <c r="C102" s="94" t="s">
        <v>6</v>
      </c>
      <c r="D102" s="100">
        <f>VLOOKUP(B102,Punten!$C$3:$AD$224,15,0)</f>
        <v>53.099000000000004</v>
      </c>
      <c r="E102" s="100">
        <f>VLOOKUP(C102,Punten!$C$3:$AD$224,15,0)</f>
        <v>57.088000000000001</v>
      </c>
    </row>
    <row r="103" spans="1:7" ht="15" customHeight="1">
      <c r="A103" s="92">
        <v>46006</v>
      </c>
      <c r="B103" s="94" t="s">
        <v>14</v>
      </c>
      <c r="C103" s="94" t="s">
        <v>5</v>
      </c>
      <c r="D103" s="100">
        <f>VLOOKUP(B103,Punten!$C$3:$AD$224,15,0)</f>
        <v>54.387</v>
      </c>
      <c r="E103" s="100">
        <f>VLOOKUP(C103,Punten!$C$3:$AD$224,15,0)</f>
        <v>73.274000000000001</v>
      </c>
    </row>
    <row r="104" spans="1:7" ht="15" customHeight="1">
      <c r="A104" s="164">
        <v>46006</v>
      </c>
      <c r="B104" s="165" t="s">
        <v>289</v>
      </c>
      <c r="C104" s="165" t="s">
        <v>12</v>
      </c>
      <c r="D104" s="100">
        <f>VLOOKUP(B104,Punten!$C$3:$AD$224,15,0)</f>
        <v>56.138999999999996</v>
      </c>
      <c r="E104" s="100">
        <f>VLOOKUP(C104,Punten!$C$3:$AD$224,15,0)</f>
        <v>55.677</v>
      </c>
    </row>
    <row r="105" spans="1:7" ht="15" customHeight="1">
      <c r="A105" s="92">
        <v>46007</v>
      </c>
      <c r="B105" s="94" t="s">
        <v>16</v>
      </c>
      <c r="C105" s="94" t="s">
        <v>11</v>
      </c>
      <c r="D105" s="100">
        <f>VLOOKUP(B105,Punten!$C$3:$AD$224,15,0)</f>
        <v>51.216000000000001</v>
      </c>
      <c r="E105" s="100">
        <f>VLOOKUP(C105,Punten!$C$3:$AD$224,15,0)</f>
        <v>81.981999999999999</v>
      </c>
    </row>
    <row r="106" spans="1:7" ht="15" customHeight="1">
      <c r="A106" s="92">
        <v>46007</v>
      </c>
      <c r="B106" s="94" t="s">
        <v>8</v>
      </c>
      <c r="C106" s="94" t="s">
        <v>290</v>
      </c>
      <c r="D106" s="100">
        <f>VLOOKUP(B106,Punten!$C$3:$AD$224,15,0)</f>
        <v>82.206000000000003</v>
      </c>
      <c r="E106" s="100">
        <f>VLOOKUP(C106,Punten!$C$3:$AD$224,15,0)</f>
        <v>64.019000000000005</v>
      </c>
    </row>
    <row r="107" spans="1:7" ht="15" customHeight="1">
      <c r="A107" s="92">
        <v>46007</v>
      </c>
      <c r="B107" s="94" t="s">
        <v>9</v>
      </c>
      <c r="C107" s="101" t="s">
        <v>15</v>
      </c>
      <c r="D107" s="100">
        <f>VLOOKUP(B107,Punten!$C$3:$AD$224,15,0)</f>
        <v>45.399000000000001</v>
      </c>
      <c r="E107" s="100">
        <f>VLOOKUP(C107,Punten!$C$3:$AD$224,15,0)</f>
        <v>64.419000000000011</v>
      </c>
    </row>
    <row r="108" spans="1:7" ht="15" customHeight="1">
      <c r="A108" s="114">
        <v>46009</v>
      </c>
      <c r="B108" s="94" t="s">
        <v>10</v>
      </c>
      <c r="C108" s="94" t="s">
        <v>13</v>
      </c>
      <c r="D108" s="100">
        <f>VLOOKUP(B108,Punten!$C$3:$AD$224,15,0)</f>
        <v>57.758000000000003</v>
      </c>
      <c r="E108" s="100">
        <f>VLOOKUP(C108,Punten!$C$3:$AD$224,15,0)</f>
        <v>65.793000000000006</v>
      </c>
    </row>
    <row r="109" spans="1:7" s="58" customFormat="1" ht="15.6" customHeight="1">
      <c r="A109" s="315"/>
      <c r="B109" s="316"/>
      <c r="C109" s="163"/>
      <c r="E109" s="59"/>
      <c r="F109" s="59"/>
      <c r="G109" s="59"/>
    </row>
    <row r="110" spans="1:7" ht="22.2" customHeight="1">
      <c r="A110" s="320" t="s">
        <v>285</v>
      </c>
      <c r="B110" s="320"/>
      <c r="C110" s="320"/>
      <c r="D110" s="320"/>
      <c r="E110" s="104"/>
    </row>
    <row r="111" spans="1:7" ht="15" customHeight="1">
      <c r="A111" s="319" t="s">
        <v>286</v>
      </c>
      <c r="B111" s="319"/>
      <c r="C111" s="319"/>
      <c r="D111" s="319"/>
      <c r="E111" s="105" t="s">
        <v>287</v>
      </c>
    </row>
    <row r="112" spans="1:7" ht="25.2" customHeight="1">
      <c r="B112" s="84" t="s">
        <v>40</v>
      </c>
      <c r="C112" s="85"/>
      <c r="D112" s="100"/>
      <c r="E112" s="81"/>
    </row>
    <row r="113" spans="1:10" ht="15" customHeight="1">
      <c r="A113" s="95" t="s">
        <v>36</v>
      </c>
      <c r="B113" s="82" t="s">
        <v>37</v>
      </c>
      <c r="C113" s="82" t="s">
        <v>38</v>
      </c>
      <c r="D113" s="86" t="s">
        <v>3</v>
      </c>
      <c r="E113" s="86" t="s">
        <v>3</v>
      </c>
    </row>
    <row r="114" spans="1:10" ht="13.95" customHeight="1">
      <c r="A114" s="92"/>
      <c r="B114" s="106"/>
      <c r="C114" s="106"/>
      <c r="D114" s="104"/>
      <c r="E114" s="104"/>
    </row>
    <row r="115" spans="1:10" ht="15" customHeight="1">
      <c r="A115" s="93">
        <v>46027</v>
      </c>
      <c r="B115" s="94" t="s">
        <v>7</v>
      </c>
      <c r="C115" s="94" t="s">
        <v>13</v>
      </c>
      <c r="D115" s="100">
        <f>VLOOKUP(B115,Punten!$C$3:$AD$224,16,0)</f>
        <v>64.424000000000007</v>
      </c>
      <c r="E115" s="100">
        <f>VLOOKUP(C115,Punten!$C$3:$AD$224,16,0)</f>
        <v>60.944000000000003</v>
      </c>
    </row>
    <row r="116" spans="1:10" ht="15" customHeight="1">
      <c r="A116" s="93">
        <v>46028</v>
      </c>
      <c r="B116" s="94" t="s">
        <v>8</v>
      </c>
      <c r="C116" s="94" t="s">
        <v>289</v>
      </c>
      <c r="D116" s="100">
        <f>VLOOKUP(B116,Punten!$C$3:$AD$224,16,0)</f>
        <v>50.507000000000005</v>
      </c>
      <c r="E116" s="100">
        <f>VLOOKUP(C116,Punten!$C$3:$AD$224,16,0)</f>
        <v>63.698999999999998</v>
      </c>
    </row>
    <row r="117" spans="1:10" ht="15" customHeight="1">
      <c r="A117" s="93">
        <v>46028</v>
      </c>
      <c r="B117" s="94" t="s">
        <v>9</v>
      </c>
      <c r="C117" s="94" t="s">
        <v>11</v>
      </c>
      <c r="D117" s="100">
        <f>VLOOKUP(B117,Punten!$C$3:$AD$224,16,0)</f>
        <v>53.446999999999996</v>
      </c>
      <c r="E117" s="100">
        <f>VLOOKUP(C117,Punten!$C$3:$AD$224,16,0)</f>
        <v>68.793999999999997</v>
      </c>
    </row>
    <row r="118" spans="1:10" ht="15" customHeight="1">
      <c r="A118" s="93">
        <v>46028</v>
      </c>
      <c r="B118" s="94" t="s">
        <v>290</v>
      </c>
      <c r="C118" s="94" t="s">
        <v>6</v>
      </c>
      <c r="D118" s="100">
        <f>VLOOKUP(B118,Punten!$C$3:$AD$224,16,0)</f>
        <v>57.353000000000002</v>
      </c>
      <c r="E118" s="100">
        <f>VLOOKUP(C118,Punten!$C$3:$AD$224,16,0)</f>
        <v>59.262</v>
      </c>
    </row>
    <row r="119" spans="1:10" ht="15" customHeight="1">
      <c r="A119" s="93">
        <v>46028</v>
      </c>
      <c r="B119" s="101" t="s">
        <v>16</v>
      </c>
      <c r="C119" s="94" t="s">
        <v>5</v>
      </c>
      <c r="D119" s="100">
        <f>VLOOKUP(B119,Punten!$C$3:$AD$224,16,0)</f>
        <v>67.884999999999991</v>
      </c>
      <c r="E119" s="100">
        <f>VLOOKUP(C119,Punten!$C$3:$AD$224,16,0)</f>
        <v>63.105000000000004</v>
      </c>
    </row>
    <row r="120" spans="1:10" ht="15" customHeight="1">
      <c r="A120" s="93">
        <v>46030</v>
      </c>
      <c r="B120" s="94" t="s">
        <v>10</v>
      </c>
      <c r="C120" s="94" t="s">
        <v>15</v>
      </c>
      <c r="D120" s="100">
        <f>VLOOKUP(B120,Punten!$C$3:$AD$224,16,0)</f>
        <v>62.791000000000004</v>
      </c>
      <c r="E120" s="100">
        <f>VLOOKUP(C120,Punten!$C$3:$AD$224,16,0)</f>
        <v>68.548000000000002</v>
      </c>
    </row>
    <row r="121" spans="1:10" ht="15" customHeight="1">
      <c r="A121" s="93">
        <v>46031</v>
      </c>
      <c r="B121" s="94" t="s">
        <v>12</v>
      </c>
      <c r="C121" s="94" t="s">
        <v>14</v>
      </c>
      <c r="D121" s="100">
        <f>VLOOKUP(B121,Punten!$C$3:$AD$224,16,0)</f>
        <v>49.783000000000001</v>
      </c>
      <c r="E121" s="100">
        <f>VLOOKUP(C121,Punten!$C$3:$AD$224,16,0)</f>
        <v>47.05</v>
      </c>
    </row>
    <row r="122" spans="1:10" ht="13.95" customHeight="1">
      <c r="A122" s="93"/>
      <c r="B122" s="94"/>
      <c r="C122" s="94"/>
      <c r="D122" s="100"/>
      <c r="E122" s="100"/>
    </row>
    <row r="123" spans="1:10" ht="15" customHeight="1">
      <c r="A123" s="93">
        <v>46034</v>
      </c>
      <c r="B123" s="94" t="s">
        <v>289</v>
      </c>
      <c r="C123" s="94" t="s">
        <v>7</v>
      </c>
      <c r="D123" s="100">
        <f>VLOOKUP(B123,Punten!$C$3:$AD$224,17,0)</f>
        <v>56.518000000000001</v>
      </c>
      <c r="E123" s="100">
        <f>VLOOKUP(C123,Punten!$C$3:$AD$224,17,0)</f>
        <v>46.463000000000001</v>
      </c>
      <c r="J123" t="s">
        <v>127</v>
      </c>
    </row>
    <row r="124" spans="1:10" ht="15" customHeight="1">
      <c r="A124" s="93">
        <v>46034</v>
      </c>
      <c r="B124" s="94" t="s">
        <v>11</v>
      </c>
      <c r="C124" s="94" t="s">
        <v>8</v>
      </c>
      <c r="D124" s="100">
        <f>VLOOKUP(B124,Punten!$C$3:$AD$224,17,0)</f>
        <v>64.658999999999992</v>
      </c>
      <c r="E124" s="100">
        <f>VLOOKUP(C124,Punten!$C$3:$AD$224,17,0)</f>
        <v>72.954999999999998</v>
      </c>
    </row>
    <row r="125" spans="1:10" ht="15" customHeight="1">
      <c r="A125" s="93">
        <v>46034</v>
      </c>
      <c r="B125" s="94" t="s">
        <v>15</v>
      </c>
      <c r="C125" s="94" t="s">
        <v>290</v>
      </c>
      <c r="D125" s="100">
        <f>VLOOKUP(B125,Punten!$C$3:$AD$224,17,0)</f>
        <v>53.589999999999996</v>
      </c>
      <c r="E125" s="100">
        <f>VLOOKUP(C125,Punten!$C$3:$AD$224,17,0)</f>
        <v>59.389000000000003</v>
      </c>
    </row>
    <row r="126" spans="1:10" ht="15" customHeight="1">
      <c r="A126" s="93">
        <v>46036</v>
      </c>
      <c r="B126" s="94" t="s">
        <v>6</v>
      </c>
      <c r="C126" s="94" t="s">
        <v>9</v>
      </c>
      <c r="D126" s="100">
        <f>VLOOKUP(B126,Punten!$C$3:$AD$224,17,0)</f>
        <v>55.895000000000003</v>
      </c>
      <c r="E126" s="100">
        <f>VLOOKUP(C126,Punten!$C$3:$AD$224,17,0)</f>
        <v>55.182000000000002</v>
      </c>
    </row>
    <row r="127" spans="1:10" ht="15" customHeight="1">
      <c r="A127" s="93">
        <v>46036</v>
      </c>
      <c r="B127" s="94" t="s">
        <v>5</v>
      </c>
      <c r="C127" s="94" t="s">
        <v>12</v>
      </c>
      <c r="D127" s="100">
        <f>VLOOKUP(B127,Punten!$C$3:$AD$224,17,0)</f>
        <v>50.805999999999997</v>
      </c>
      <c r="E127" s="100">
        <f>VLOOKUP(C127,Punten!$C$3:$AD$224,17,0)</f>
        <v>67.207999999999998</v>
      </c>
    </row>
    <row r="128" spans="1:10" ht="15" customHeight="1">
      <c r="A128" s="164">
        <v>46037</v>
      </c>
      <c r="B128" s="165" t="s">
        <v>10</v>
      </c>
      <c r="C128" s="165" t="s">
        <v>14</v>
      </c>
      <c r="D128" s="100">
        <f>VLOOKUP(B128,Punten!$C$3:$AD$224,17,0)</f>
        <v>48.348999999999997</v>
      </c>
      <c r="E128" s="100">
        <f>VLOOKUP(C128,Punten!$C$3:$AD$224,17,0)</f>
        <v>61.230000000000004</v>
      </c>
    </row>
    <row r="129" spans="1:5" ht="15" customHeight="1">
      <c r="A129" s="93">
        <v>46037</v>
      </c>
      <c r="B129" s="101" t="s">
        <v>13</v>
      </c>
      <c r="C129" s="94" t="s">
        <v>16</v>
      </c>
      <c r="D129" s="100">
        <f>VLOOKUP(B129,Punten!$C$3:$AD$224,17,0)</f>
        <v>69.942999999999998</v>
      </c>
      <c r="E129" s="100">
        <f>VLOOKUP(C129,Punten!$C$3:$AD$224,17,0)</f>
        <v>76.884</v>
      </c>
    </row>
    <row r="130" spans="1:5" ht="13.95" customHeight="1">
      <c r="A130" s="93"/>
      <c r="B130" s="94"/>
      <c r="C130" s="94"/>
      <c r="D130" s="100"/>
      <c r="E130" s="100"/>
    </row>
    <row r="131" spans="1:5" ht="15" customHeight="1">
      <c r="A131" s="92">
        <v>46041</v>
      </c>
      <c r="B131" s="115" t="s">
        <v>14</v>
      </c>
      <c r="C131" s="101" t="s">
        <v>15</v>
      </c>
      <c r="D131" s="100">
        <f>VLOOKUP(B131,Punten!$C$3:$AD$224,18,0)</f>
        <v>50.820999999999998</v>
      </c>
      <c r="E131" s="100">
        <f>VLOOKUP(C131,Punten!$C$3:$AD$224,18,0)</f>
        <v>47.131</v>
      </c>
    </row>
    <row r="132" spans="1:5" ht="15" customHeight="1">
      <c r="A132" s="92">
        <v>46041</v>
      </c>
      <c r="B132" s="115" t="s">
        <v>7</v>
      </c>
      <c r="C132" s="94" t="s">
        <v>11</v>
      </c>
      <c r="D132" s="100">
        <f>VLOOKUP(B132,Punten!$C$3:$AD$224,18,0)</f>
        <v>64.453000000000003</v>
      </c>
      <c r="E132" s="100">
        <f>VLOOKUP(C132,Punten!$C$3:$AD$224,18,0)</f>
        <v>62.715000000000003</v>
      </c>
    </row>
    <row r="133" spans="1:5" ht="15" customHeight="1">
      <c r="A133" s="92">
        <v>46042</v>
      </c>
      <c r="B133" s="94" t="s">
        <v>16</v>
      </c>
      <c r="C133" s="94" t="s">
        <v>289</v>
      </c>
      <c r="D133" s="100">
        <f>VLOOKUP(B133,Punten!$C$3:$AD$224,18,0)</f>
        <v>41.646999999999998</v>
      </c>
      <c r="E133" s="100">
        <f>VLOOKUP(C133,Punten!$C$3:$AD$224,18,0)</f>
        <v>64.260999999999996</v>
      </c>
    </row>
    <row r="134" spans="1:5" ht="15" customHeight="1">
      <c r="A134" s="92">
        <v>46042</v>
      </c>
      <c r="B134" s="94" t="s">
        <v>9</v>
      </c>
      <c r="C134" s="94" t="s">
        <v>290</v>
      </c>
      <c r="D134" s="100">
        <f>VLOOKUP(B134,Punten!$C$3:$AD$224,18,0)</f>
        <v>56.927</v>
      </c>
      <c r="E134" s="100">
        <f>VLOOKUP(C134,Punten!$C$3:$AD$224,18,0)</f>
        <v>58.847999999999999</v>
      </c>
    </row>
    <row r="135" spans="1:5" ht="15" customHeight="1">
      <c r="A135" s="93">
        <v>46042</v>
      </c>
      <c r="B135" s="94" t="s">
        <v>8</v>
      </c>
      <c r="C135" s="94" t="s">
        <v>6</v>
      </c>
      <c r="D135" s="100">
        <f>VLOOKUP(B135,Punten!$C$3:$AD$224,18,0)</f>
        <v>68.415000000000006</v>
      </c>
      <c r="E135" s="100">
        <f>VLOOKUP(C135,Punten!$C$3:$AD$224,18,0)</f>
        <v>56.265999999999998</v>
      </c>
    </row>
    <row r="136" spans="1:5" ht="15" customHeight="1">
      <c r="A136" s="92">
        <v>46044</v>
      </c>
      <c r="B136" s="94" t="s">
        <v>10</v>
      </c>
      <c r="C136" s="94" t="s">
        <v>5</v>
      </c>
      <c r="D136" s="100">
        <f>VLOOKUP(B136,Punten!$C$3:$AD$224,18,0)</f>
        <v>64.763000000000005</v>
      </c>
      <c r="E136" s="100">
        <f>VLOOKUP(C136,Punten!$C$3:$AD$224,18,0)</f>
        <v>51.363</v>
      </c>
    </row>
    <row r="137" spans="1:5" ht="15" customHeight="1">
      <c r="A137" s="92">
        <v>46045</v>
      </c>
      <c r="B137" s="94" t="s">
        <v>12</v>
      </c>
      <c r="C137" s="94" t="s">
        <v>13</v>
      </c>
      <c r="D137" s="100">
        <f>VLOOKUP(B137,Punten!$C$3:$AD$224,18,0)</f>
        <v>41.890999999999998</v>
      </c>
      <c r="E137" s="100">
        <f>VLOOKUP(C137,Punten!$C$3:$AD$224,18,0)</f>
        <v>44.517000000000003</v>
      </c>
    </row>
    <row r="138" spans="1:5" ht="13.95" customHeight="1">
      <c r="A138" s="93"/>
      <c r="B138" s="94"/>
      <c r="C138" s="94"/>
      <c r="D138" s="100"/>
      <c r="E138" s="100"/>
    </row>
    <row r="139" spans="1:5" ht="15" customHeight="1">
      <c r="A139" s="93">
        <v>46048</v>
      </c>
      <c r="B139" s="94" t="s">
        <v>15</v>
      </c>
      <c r="C139" s="94" t="s">
        <v>9</v>
      </c>
      <c r="D139" s="100">
        <f>VLOOKUP(B139,Punten!$C$3:$AD$224,19,0)</f>
        <v>50.063000000000002</v>
      </c>
      <c r="E139" s="100">
        <f>VLOOKUP(C139,Punten!$C$3:$AD$224,19,0)</f>
        <v>56.26</v>
      </c>
    </row>
    <row r="140" spans="1:5" ht="15" customHeight="1">
      <c r="A140" s="164">
        <v>46048</v>
      </c>
      <c r="B140" s="165" t="s">
        <v>12</v>
      </c>
      <c r="C140" s="165" t="s">
        <v>289</v>
      </c>
      <c r="D140" s="100">
        <f>VLOOKUP(B140,Punten!$C$3:$AD$224,19,0)</f>
        <v>65.346000000000004</v>
      </c>
      <c r="E140" s="100">
        <f>VLOOKUP(C140,Punten!$C$3:$AD$224,19,0)</f>
        <v>56.856000000000002</v>
      </c>
    </row>
    <row r="141" spans="1:5" ht="15" customHeight="1">
      <c r="A141" s="93">
        <v>46049</v>
      </c>
      <c r="B141" s="101" t="s">
        <v>290</v>
      </c>
      <c r="C141" s="94" t="s">
        <v>8</v>
      </c>
      <c r="D141" s="100">
        <f>VLOOKUP(B141,Punten!$C$3:$AD$224,19,0)</f>
        <v>59.087000000000003</v>
      </c>
      <c r="E141" s="100">
        <f>VLOOKUP(C141,Punten!$C$3:$AD$224,19,0)</f>
        <v>60.847000000000001</v>
      </c>
    </row>
    <row r="142" spans="1:5" ht="15" customHeight="1">
      <c r="A142" s="93">
        <v>46050</v>
      </c>
      <c r="B142" s="94" t="s">
        <v>6</v>
      </c>
      <c r="C142" s="94" t="s">
        <v>7</v>
      </c>
      <c r="D142" s="100">
        <f>VLOOKUP(B142,Punten!$C$3:$AD$224,19,0)</f>
        <v>52.605000000000004</v>
      </c>
      <c r="E142" s="100">
        <f>VLOOKUP(C142,Punten!$C$3:$AD$224,19,0)</f>
        <v>70.673000000000002</v>
      </c>
    </row>
    <row r="143" spans="1:5" ht="15" customHeight="1">
      <c r="A143" s="93">
        <v>46050</v>
      </c>
      <c r="B143" s="94" t="s">
        <v>5</v>
      </c>
      <c r="C143" s="94" t="s">
        <v>14</v>
      </c>
      <c r="D143" s="100">
        <f>VLOOKUP(B143,Punten!$C$3:$AD$224,19,0)</f>
        <v>61.924999999999997</v>
      </c>
      <c r="E143" s="100">
        <f>VLOOKUP(C143,Punten!$C$3:$AD$224,19,0)</f>
        <v>53.375999999999998</v>
      </c>
    </row>
    <row r="144" spans="1:5" ht="15" customHeight="1">
      <c r="A144" s="113">
        <v>46051</v>
      </c>
      <c r="B144" s="116" t="s">
        <v>11</v>
      </c>
      <c r="C144" s="116" t="s">
        <v>16</v>
      </c>
      <c r="D144" s="100">
        <f>VLOOKUP(B144,Punten!$C$3:$AD$224,19,0)</f>
        <v>63.106999999999992</v>
      </c>
      <c r="E144" s="100">
        <f>VLOOKUP(C144,Punten!$C$3:$AD$224,19,0)</f>
        <v>58.439</v>
      </c>
    </row>
    <row r="145" spans="1:5" ht="15" customHeight="1">
      <c r="A145" s="93">
        <v>46051</v>
      </c>
      <c r="B145" s="94" t="s">
        <v>13</v>
      </c>
      <c r="C145" s="94" t="s">
        <v>10</v>
      </c>
      <c r="D145" s="100">
        <f>VLOOKUP(B145,Punten!$C$3:$AD$224,19,0)</f>
        <v>57.584000000000003</v>
      </c>
      <c r="E145" s="100">
        <f>VLOOKUP(C145,Punten!$C$3:$AD$224,19,0)</f>
        <v>71.155000000000001</v>
      </c>
    </row>
    <row r="146" spans="1:5" ht="13.95" customHeight="1">
      <c r="A146" s="93"/>
      <c r="B146" s="94"/>
      <c r="C146" s="94"/>
      <c r="D146" s="100"/>
      <c r="E146" s="100"/>
    </row>
    <row r="147" spans="1:5" ht="15" customHeight="1">
      <c r="A147" s="93">
        <v>46062</v>
      </c>
      <c r="B147" s="94" t="s">
        <v>289</v>
      </c>
      <c r="C147" s="94" t="s">
        <v>6</v>
      </c>
      <c r="D147" s="100">
        <f>VLOOKUP(B147,Punten!$C$3:$AD$224,20,0)</f>
        <v>55.235999999999997</v>
      </c>
      <c r="E147" s="100">
        <f>VLOOKUP(C147,Punten!$C$3:$AD$224,20,0)</f>
        <v>59.305000000000007</v>
      </c>
    </row>
    <row r="148" spans="1:5" ht="15" customHeight="1">
      <c r="A148" s="93">
        <v>46062</v>
      </c>
      <c r="B148" s="94" t="s">
        <v>15</v>
      </c>
      <c r="C148" s="94" t="s">
        <v>11</v>
      </c>
      <c r="D148" s="100">
        <f>VLOOKUP(B148,Punten!$C$3:$AD$224,20,0)</f>
        <v>71.460000000000008</v>
      </c>
      <c r="E148" s="100">
        <f>VLOOKUP(C148,Punten!$C$3:$AD$224,20,0)</f>
        <v>50.585000000000001</v>
      </c>
    </row>
    <row r="149" spans="1:5" ht="15" customHeight="1">
      <c r="A149" s="164">
        <v>46063</v>
      </c>
      <c r="B149" s="202" t="s">
        <v>8</v>
      </c>
      <c r="C149" s="165" t="s">
        <v>14</v>
      </c>
      <c r="D149" s="100">
        <f>VLOOKUP(B149,Punten!$C$3:$AD$224,20,0)</f>
        <v>49.218000000000004</v>
      </c>
      <c r="E149" s="100">
        <f>VLOOKUP(C149,Punten!$C$3:$AD$224,20,0)</f>
        <v>52.81</v>
      </c>
    </row>
    <row r="150" spans="1:5" ht="15" customHeight="1">
      <c r="A150" s="93">
        <v>46064</v>
      </c>
      <c r="B150" s="94" t="s">
        <v>5</v>
      </c>
      <c r="C150" s="101" t="s">
        <v>9</v>
      </c>
      <c r="D150" s="100">
        <f>VLOOKUP(B150,Punten!$C$3:$AD$224,20,0)</f>
        <v>52.167000000000002</v>
      </c>
      <c r="E150" s="100">
        <f>VLOOKUP(C150,Punten!$C$3:$AD$224,20,0)</f>
        <v>55.524000000000001</v>
      </c>
    </row>
    <row r="151" spans="1:5" ht="15" customHeight="1">
      <c r="A151" s="93">
        <v>46065</v>
      </c>
      <c r="B151" s="94" t="s">
        <v>13</v>
      </c>
      <c r="C151" s="94" t="s">
        <v>290</v>
      </c>
      <c r="D151" s="100">
        <f>VLOOKUP(B151,Punten!$C$3:$AD$224,20,0)</f>
        <v>62.230000000000004</v>
      </c>
      <c r="E151" s="100">
        <f>VLOOKUP(C151,Punten!$C$3:$AD$224,20,0)</f>
        <v>45.895999999999994</v>
      </c>
    </row>
    <row r="152" spans="1:5" ht="15" customHeight="1">
      <c r="A152" s="93">
        <v>46065</v>
      </c>
      <c r="B152" s="94" t="s">
        <v>10</v>
      </c>
      <c r="C152" s="94" t="s">
        <v>7</v>
      </c>
      <c r="D152" s="100">
        <f>VLOOKUP(B152,Punten!$C$3:$AD$224,20,0)</f>
        <v>68.244</v>
      </c>
      <c r="E152" s="100">
        <f>VLOOKUP(C152,Punten!$C$3:$AD$224,20,0)</f>
        <v>71.748000000000005</v>
      </c>
    </row>
    <row r="153" spans="1:5" ht="15" customHeight="1">
      <c r="A153" s="93">
        <v>46066</v>
      </c>
      <c r="B153" s="94" t="s">
        <v>12</v>
      </c>
      <c r="C153" s="94" t="s">
        <v>16</v>
      </c>
      <c r="D153" s="100">
        <f>VLOOKUP(B153,Punten!$C$3:$AD$224,20,0)</f>
        <v>60.036999999999992</v>
      </c>
      <c r="E153" s="100">
        <f>VLOOKUP(C153,Punten!$C$3:$AD$224,20,0)</f>
        <v>60.129000000000005</v>
      </c>
    </row>
    <row r="154" spans="1:5" ht="13.95" customHeight="1">
      <c r="A154" s="93"/>
      <c r="B154" s="94"/>
      <c r="C154" s="94"/>
      <c r="D154" s="100"/>
      <c r="E154" s="100"/>
    </row>
    <row r="155" spans="1:5" ht="15" customHeight="1">
      <c r="A155" s="93">
        <v>46076</v>
      </c>
      <c r="B155" s="94" t="s">
        <v>7</v>
      </c>
      <c r="C155" s="94" t="s">
        <v>14</v>
      </c>
      <c r="D155" s="100">
        <f>VLOOKUP(B155,Punten!$C$3:$AD$224,21,0)</f>
        <v>65.247</v>
      </c>
      <c r="E155" s="100">
        <f>VLOOKUP(C155,Punten!$C$3:$AD$224,21,0)</f>
        <v>64.103000000000009</v>
      </c>
    </row>
    <row r="156" spans="1:5" ht="15" customHeight="1">
      <c r="A156" s="93">
        <v>46077</v>
      </c>
      <c r="B156" s="94" t="s">
        <v>290</v>
      </c>
      <c r="C156" s="94" t="s">
        <v>289</v>
      </c>
      <c r="D156" s="100">
        <f>VLOOKUP(B156,Punten!$C$3:$AD$224,21,0)</f>
        <v>57.916000000000004</v>
      </c>
      <c r="E156" s="100">
        <f>VLOOKUP(C156,Punten!$C$3:$AD$224,21,0)</f>
        <v>51.308</v>
      </c>
    </row>
    <row r="157" spans="1:5" ht="15" customHeight="1">
      <c r="A157" s="93">
        <v>46077</v>
      </c>
      <c r="B157" s="94" t="s">
        <v>9</v>
      </c>
      <c r="C157" s="94" t="s">
        <v>13</v>
      </c>
      <c r="D157" s="100">
        <f>VLOOKUP(B157,Punten!$C$3:$AD$224,21,0)</f>
        <v>61.076999999999998</v>
      </c>
      <c r="E157" s="100">
        <f>VLOOKUP(C157,Punten!$C$3:$AD$224,21,0)</f>
        <v>59.696999999999996</v>
      </c>
    </row>
    <row r="158" spans="1:5" ht="15" customHeight="1">
      <c r="A158" s="93">
        <v>46077</v>
      </c>
      <c r="B158" s="94" t="s">
        <v>16</v>
      </c>
      <c r="C158" s="94" t="s">
        <v>10</v>
      </c>
      <c r="D158" s="100">
        <f>VLOOKUP(B158,Punten!$C$3:$AD$224,21,0)</f>
        <v>55.847999999999999</v>
      </c>
      <c r="E158" s="100">
        <f>VLOOKUP(C158,Punten!$C$3:$AD$224,21,0)</f>
        <v>53.539000000000001</v>
      </c>
    </row>
    <row r="159" spans="1:5" ht="15" customHeight="1">
      <c r="A159" s="211">
        <v>46078</v>
      </c>
      <c r="B159" s="202" t="s">
        <v>5</v>
      </c>
      <c r="C159" s="165" t="s">
        <v>8</v>
      </c>
      <c r="D159" s="100">
        <f>VLOOKUP(B159,Punten!$C$3:$AD$224,21,0)</f>
        <v>59.256</v>
      </c>
      <c r="E159" s="100">
        <f>VLOOKUP(C159,Punten!$C$3:$AD$224,21,0)</f>
        <v>58.73</v>
      </c>
    </row>
    <row r="160" spans="1:5" ht="15" customHeight="1">
      <c r="A160" s="93">
        <v>46078</v>
      </c>
      <c r="B160" s="94" t="s">
        <v>6</v>
      </c>
      <c r="C160" s="94" t="s">
        <v>11</v>
      </c>
      <c r="D160" s="100">
        <f>VLOOKUP(B160,Punten!$C$3:$AD$224,21,0)</f>
        <v>47.985999999999997</v>
      </c>
      <c r="E160" s="100">
        <f>VLOOKUP(C160,Punten!$C$3:$AD$224,21,0)</f>
        <v>53.136000000000003</v>
      </c>
    </row>
    <row r="161" spans="1:5" ht="15" customHeight="1">
      <c r="A161" s="93">
        <v>46080</v>
      </c>
      <c r="B161" s="94" t="s">
        <v>12</v>
      </c>
      <c r="C161" s="94" t="s">
        <v>15</v>
      </c>
      <c r="D161" s="100">
        <f>VLOOKUP(B161,Punten!$C$3:$AD$224,21,0)</f>
        <v>64.293999999999997</v>
      </c>
      <c r="E161" s="100">
        <f>VLOOKUP(C161,Punten!$C$3:$AD$224,21,0)</f>
        <v>63.375</v>
      </c>
    </row>
    <row r="162" spans="1:5" ht="13.95" customHeight="1">
      <c r="A162" s="92"/>
      <c r="B162" s="106"/>
      <c r="C162" s="106"/>
      <c r="D162" s="100"/>
      <c r="E162" s="100"/>
    </row>
    <row r="163" spans="1:5" ht="15" customHeight="1">
      <c r="A163" s="93">
        <v>46090</v>
      </c>
      <c r="B163" s="94" t="s">
        <v>15</v>
      </c>
      <c r="C163" s="101" t="s">
        <v>6</v>
      </c>
      <c r="D163" s="100">
        <f>VLOOKUP(B163,Punten!$C$3:$AD$224,22,0)</f>
        <v>61.343000000000004</v>
      </c>
      <c r="E163" s="100">
        <f>VLOOKUP(C163,Punten!$C$3:$AD$224,22,0)</f>
        <v>52.927</v>
      </c>
    </row>
    <row r="164" spans="1:5" ht="15" customHeight="1">
      <c r="A164" s="93">
        <v>46090</v>
      </c>
      <c r="B164" s="94" t="s">
        <v>14</v>
      </c>
      <c r="C164" s="94" t="s">
        <v>16</v>
      </c>
      <c r="D164" s="100">
        <f>VLOOKUP(B164,Punten!$C$3:$AD$224,22,0)</f>
        <v>53.37</v>
      </c>
      <c r="E164" s="100">
        <f>VLOOKUP(C164,Punten!$C$3:$AD$224,22,0)</f>
        <v>54.594999999999999</v>
      </c>
    </row>
    <row r="165" spans="1:5" ht="15" customHeight="1">
      <c r="A165" s="93">
        <v>46090</v>
      </c>
      <c r="B165" s="94" t="s">
        <v>11</v>
      </c>
      <c r="C165" s="94" t="s">
        <v>290</v>
      </c>
      <c r="D165" s="100">
        <f>VLOOKUP(B165,Punten!$C$3:$AD$224,22,0)</f>
        <v>68.716000000000008</v>
      </c>
      <c r="E165" s="100">
        <f>VLOOKUP(C165,Punten!$C$3:$AD$224,22,0)</f>
        <v>64.445999999999998</v>
      </c>
    </row>
    <row r="166" spans="1:5" ht="15" customHeight="1">
      <c r="A166" s="93">
        <v>46090</v>
      </c>
      <c r="B166" s="94" t="s">
        <v>289</v>
      </c>
      <c r="C166" s="94" t="s">
        <v>9</v>
      </c>
      <c r="D166" s="100">
        <f>VLOOKUP(B166,Punten!$C$3:$AD$224,22,0)</f>
        <v>61.189</v>
      </c>
      <c r="E166" s="100">
        <f>VLOOKUP(C166,Punten!$C$3:$AD$224,22,0)</f>
        <v>52.905000000000001</v>
      </c>
    </row>
    <row r="167" spans="1:5" ht="15" customHeight="1">
      <c r="A167" s="93">
        <v>46092</v>
      </c>
      <c r="B167" s="94" t="s">
        <v>5</v>
      </c>
      <c r="C167" s="94" t="s">
        <v>7</v>
      </c>
      <c r="D167" s="100">
        <f>VLOOKUP(B167,Punten!$C$3:$AD$224,22,0)</f>
        <v>55.913000000000004</v>
      </c>
      <c r="E167" s="100">
        <f>VLOOKUP(C167,Punten!$C$3:$AD$224,22,0)</f>
        <v>41.087000000000003</v>
      </c>
    </row>
    <row r="168" spans="1:5" ht="15" customHeight="1">
      <c r="A168" s="164">
        <v>46091</v>
      </c>
      <c r="B168" s="165" t="s">
        <v>8</v>
      </c>
      <c r="C168" s="165" t="s">
        <v>13</v>
      </c>
      <c r="D168" s="100">
        <f>VLOOKUP(B168,Punten!$C$3:$AD$224,22,0)</f>
        <v>51.245999999999995</v>
      </c>
      <c r="E168" s="100">
        <f>VLOOKUP(C168,Punten!$C$3:$AD$224,22,0)</f>
        <v>50.621000000000002</v>
      </c>
    </row>
    <row r="169" spans="1:5" ht="15" customHeight="1">
      <c r="A169" s="93">
        <v>46093</v>
      </c>
      <c r="B169" s="94" t="s">
        <v>10</v>
      </c>
      <c r="C169" s="94" t="s">
        <v>12</v>
      </c>
      <c r="D169" s="100">
        <f>VLOOKUP(B169,Punten!$C$3:$AD$224,22,0)</f>
        <v>63.882999999999996</v>
      </c>
      <c r="E169" s="100">
        <f>VLOOKUP(C169,Punten!$C$3:$AD$224,22,0)</f>
        <v>43.341999999999999</v>
      </c>
    </row>
    <row r="170" spans="1:5" ht="7.95" customHeight="1">
      <c r="A170" s="93"/>
      <c r="B170" s="101"/>
      <c r="C170" s="94"/>
      <c r="D170" s="100"/>
      <c r="E170" s="100"/>
    </row>
    <row r="171" spans="1:5" ht="15" customHeight="1">
      <c r="A171" s="92">
        <v>46104</v>
      </c>
      <c r="B171" s="94" t="s">
        <v>7</v>
      </c>
      <c r="C171" s="94" t="s">
        <v>290</v>
      </c>
      <c r="D171" s="100" t="str">
        <f>VLOOKUP(B171,Punten!$C$3:$AD$224,23,0)</f>
        <v xml:space="preserve"> </v>
      </c>
      <c r="E171" s="100" t="str">
        <f>VLOOKUP(C171,Punten!$C$3:$AD$224,23,0)</f>
        <v xml:space="preserve"> </v>
      </c>
    </row>
    <row r="172" spans="1:5" ht="15" customHeight="1">
      <c r="A172" s="92">
        <v>46104</v>
      </c>
      <c r="B172" s="94" t="s">
        <v>15</v>
      </c>
      <c r="C172" s="94" t="s">
        <v>5</v>
      </c>
      <c r="D172" s="100" t="str">
        <f>VLOOKUP(B172,Punten!$C$3:$AD$224,23,0)</f>
        <v xml:space="preserve"> </v>
      </c>
      <c r="E172" s="100" t="str">
        <f>VLOOKUP(C172,Punten!$C$3:$AD$224,23,0)</f>
        <v xml:space="preserve"> </v>
      </c>
    </row>
    <row r="173" spans="1:5" ht="15" customHeight="1">
      <c r="A173" s="92">
        <v>46104</v>
      </c>
      <c r="B173" s="94" t="s">
        <v>289</v>
      </c>
      <c r="C173" s="101" t="s">
        <v>10</v>
      </c>
      <c r="D173" s="100" t="str">
        <f>VLOOKUP(B173,Punten!$C$3:$AD$224,23,0)</f>
        <v xml:space="preserve"> </v>
      </c>
      <c r="E173" s="100" t="str">
        <f>VLOOKUP(C173,Punten!$C$3:$AD$224,23,0)</f>
        <v xml:space="preserve"> </v>
      </c>
    </row>
    <row r="174" spans="1:5" ht="15" customHeight="1">
      <c r="A174" s="92">
        <v>46104</v>
      </c>
      <c r="B174" s="94" t="s">
        <v>14</v>
      </c>
      <c r="C174" s="94" t="s">
        <v>13</v>
      </c>
      <c r="D174" s="100" t="str">
        <f>VLOOKUP(B174,Punten!$C$3:$AD$224,23,0)</f>
        <v xml:space="preserve"> </v>
      </c>
      <c r="E174" s="100" t="str">
        <f>VLOOKUP(C174,Punten!$C$3:$AD$224,23,0)</f>
        <v xml:space="preserve"> </v>
      </c>
    </row>
    <row r="175" spans="1:5" ht="15" customHeight="1">
      <c r="A175" s="164">
        <v>46105</v>
      </c>
      <c r="B175" s="165" t="s">
        <v>8</v>
      </c>
      <c r="C175" s="165" t="s">
        <v>9</v>
      </c>
      <c r="D175" s="100" t="str">
        <f>VLOOKUP(B175,Punten!$C$3:$AD$224,23,0)</f>
        <v xml:space="preserve"> </v>
      </c>
      <c r="E175" s="100" t="str">
        <f>VLOOKUP(C175,Punten!$C$3:$AD$224,23,0)</f>
        <v xml:space="preserve"> </v>
      </c>
    </row>
    <row r="176" spans="1:5" ht="15" customHeight="1">
      <c r="A176" s="92">
        <v>46105</v>
      </c>
      <c r="B176" s="94" t="s">
        <v>16</v>
      </c>
      <c r="C176" s="94" t="s">
        <v>6</v>
      </c>
      <c r="D176" s="100" t="str">
        <f>VLOOKUP(B176,Punten!$C$3:$AD$224,23,0)</f>
        <v xml:space="preserve"> </v>
      </c>
      <c r="E176" s="100" t="str">
        <f>VLOOKUP(C176,Punten!$C$3:$AD$224,23,0)</f>
        <v xml:space="preserve"> </v>
      </c>
    </row>
    <row r="177" spans="1:5" ht="15" customHeight="1">
      <c r="A177" s="92">
        <v>46108</v>
      </c>
      <c r="B177" s="94" t="s">
        <v>12</v>
      </c>
      <c r="C177" s="94" t="s">
        <v>11</v>
      </c>
      <c r="D177" s="100" t="str">
        <f>VLOOKUP(B177,Punten!$C$3:$AD$224,23,0)</f>
        <v xml:space="preserve"> </v>
      </c>
      <c r="E177" s="100" t="str">
        <f>VLOOKUP(C177,Punten!$C$3:$AD$224,23,0)</f>
        <v xml:space="preserve"> </v>
      </c>
    </row>
    <row r="178" spans="1:5" ht="7.95" customHeight="1">
      <c r="A178" s="92"/>
      <c r="B178" s="94"/>
      <c r="C178" s="94"/>
      <c r="D178" s="100"/>
      <c r="E178" s="100"/>
    </row>
    <row r="179" spans="1:5" ht="15" customHeight="1">
      <c r="A179" s="112">
        <v>46119</v>
      </c>
      <c r="B179" s="116" t="s">
        <v>289</v>
      </c>
      <c r="C179" s="116" t="s">
        <v>14</v>
      </c>
      <c r="D179" s="100" t="str">
        <f>VLOOKUP(B179,Punten!$C$3:$AD$224,24,0)</f>
        <v xml:space="preserve"> </v>
      </c>
      <c r="E179" s="100" t="str">
        <f>VLOOKUP(C179,Punten!$C$3:$AD$224,24,0)</f>
        <v xml:space="preserve"> </v>
      </c>
    </row>
    <row r="180" spans="1:5" ht="15" customHeight="1">
      <c r="A180" s="92">
        <v>46119</v>
      </c>
      <c r="B180" s="94" t="s">
        <v>9</v>
      </c>
      <c r="C180" s="94" t="s">
        <v>7</v>
      </c>
      <c r="D180" s="100" t="str">
        <f>VLOOKUP(B180,Punten!$C$3:$AD$224,24,0)</f>
        <v xml:space="preserve"> </v>
      </c>
      <c r="E180" s="100" t="str">
        <f>VLOOKUP(C180,Punten!$C$3:$AD$224,24,0)</f>
        <v xml:space="preserve"> </v>
      </c>
    </row>
    <row r="181" spans="1:5" ht="15" customHeight="1">
      <c r="A181" s="92">
        <v>46119</v>
      </c>
      <c r="B181" s="94" t="s">
        <v>8</v>
      </c>
      <c r="C181" s="94" t="s">
        <v>15</v>
      </c>
      <c r="D181" s="100" t="str">
        <f>VLOOKUP(B181,Punten!$C$3:$AD$224,24,0)</f>
        <v xml:space="preserve"> </v>
      </c>
      <c r="E181" s="100" t="str">
        <f>VLOOKUP(C181,Punten!$C$3:$AD$224,24,0)</f>
        <v xml:space="preserve"> </v>
      </c>
    </row>
    <row r="182" spans="1:5" ht="15" customHeight="1">
      <c r="A182" s="92">
        <v>46119</v>
      </c>
      <c r="B182" s="94" t="s">
        <v>290</v>
      </c>
      <c r="C182" s="94" t="s">
        <v>16</v>
      </c>
      <c r="D182" s="100" t="str">
        <f>VLOOKUP(B182,Punten!$C$3:$AD$224,24,0)</f>
        <v xml:space="preserve"> </v>
      </c>
      <c r="E182" s="100" t="str">
        <f>VLOOKUP(C182,Punten!$C$3:$AD$224,24,0)</f>
        <v xml:space="preserve"> </v>
      </c>
    </row>
    <row r="183" spans="1:5" ht="15" customHeight="1">
      <c r="A183" s="93">
        <v>46120</v>
      </c>
      <c r="B183" s="94" t="s">
        <v>6</v>
      </c>
      <c r="C183" s="94" t="s">
        <v>12</v>
      </c>
      <c r="D183" s="100" t="str">
        <f>VLOOKUP(B183,Punten!$C$3:$AD$224,24,0)</f>
        <v xml:space="preserve"> </v>
      </c>
      <c r="E183" s="100" t="str">
        <f>VLOOKUP(C183,Punten!$C$3:$AD$224,24,0)</f>
        <v xml:space="preserve"> </v>
      </c>
    </row>
    <row r="184" spans="1:5" ht="15" customHeight="1">
      <c r="A184" s="92">
        <v>46121</v>
      </c>
      <c r="B184" s="94" t="s">
        <v>11</v>
      </c>
      <c r="C184" s="94" t="s">
        <v>10</v>
      </c>
      <c r="D184" s="100" t="str">
        <f>VLOOKUP(B184,Punten!$C$3:$AD$224,24,0)</f>
        <v xml:space="preserve"> </v>
      </c>
      <c r="E184" s="100" t="str">
        <f>VLOOKUP(C184,Punten!$C$3:$AD$224,24,0)</f>
        <v xml:space="preserve"> </v>
      </c>
    </row>
    <row r="185" spans="1:5" ht="15" customHeight="1">
      <c r="A185" s="92">
        <v>46121</v>
      </c>
      <c r="B185" s="94" t="s">
        <v>13</v>
      </c>
      <c r="C185" s="94" t="s">
        <v>5</v>
      </c>
      <c r="D185" s="100" t="str">
        <f>VLOOKUP(B185,Punten!$C$3:$AD$224,24,0)</f>
        <v xml:space="preserve"> </v>
      </c>
      <c r="E185" s="100" t="str">
        <f>VLOOKUP(C185,Punten!$C$3:$AD$224,24,0)</f>
        <v xml:space="preserve"> </v>
      </c>
    </row>
    <row r="186" spans="1:5" ht="7.95" customHeight="1">
      <c r="A186" s="93"/>
      <c r="B186" s="101"/>
      <c r="C186" s="94"/>
      <c r="D186" s="100"/>
      <c r="E186" s="100"/>
    </row>
    <row r="187" spans="1:5" ht="15" customHeight="1">
      <c r="A187" s="92">
        <v>46132</v>
      </c>
      <c r="B187" s="94" t="s">
        <v>14</v>
      </c>
      <c r="C187" s="94" t="s">
        <v>11</v>
      </c>
      <c r="D187" s="100" t="str">
        <f>VLOOKUP(B187,Punten!$C$3:$AD$224,25,0)</f>
        <v xml:space="preserve"> </v>
      </c>
      <c r="E187" s="100" t="str">
        <f>VLOOKUP(C187,Punten!$C$3:$AD$224,25,0)</f>
        <v xml:space="preserve"> </v>
      </c>
    </row>
    <row r="188" spans="1:5" ht="15" customHeight="1">
      <c r="A188" s="92">
        <v>46132</v>
      </c>
      <c r="B188" s="94" t="s">
        <v>7</v>
      </c>
      <c r="C188" s="94" t="s">
        <v>8</v>
      </c>
      <c r="D188" s="100" t="str">
        <f>VLOOKUP(B188,Punten!$C$3:$AD$224,25,0)</f>
        <v xml:space="preserve"> </v>
      </c>
      <c r="E188" s="100" t="str">
        <f>VLOOKUP(C188,Punten!$C$3:$AD$224,25,0)</f>
        <v xml:space="preserve"> </v>
      </c>
    </row>
    <row r="189" spans="1:5" ht="15" customHeight="1">
      <c r="A189" s="92">
        <v>46133</v>
      </c>
      <c r="B189" s="94" t="s">
        <v>16</v>
      </c>
      <c r="C189" s="101" t="s">
        <v>9</v>
      </c>
      <c r="D189" s="100" t="str">
        <f>VLOOKUP(B189,Punten!$C$3:$AD$224,25,0)</f>
        <v xml:space="preserve"> </v>
      </c>
      <c r="E189" s="100" t="str">
        <f>VLOOKUP(C189,Punten!$C$3:$AD$224,25,0)</f>
        <v xml:space="preserve"> </v>
      </c>
    </row>
    <row r="190" spans="1:5" ht="15" customHeight="1">
      <c r="A190" s="92">
        <v>46134</v>
      </c>
      <c r="B190" s="94" t="s">
        <v>5</v>
      </c>
      <c r="C190" s="94" t="s">
        <v>289</v>
      </c>
      <c r="D190" s="100" t="str">
        <f>VLOOKUP(B190,Punten!$C$3:$AD$224,25,0)</f>
        <v xml:space="preserve"> </v>
      </c>
      <c r="E190" s="100" t="str">
        <f>VLOOKUP(C190,Punten!$C$3:$AD$224,25,0)</f>
        <v xml:space="preserve"> </v>
      </c>
    </row>
    <row r="191" spans="1:5" ht="15" customHeight="1">
      <c r="A191" s="93">
        <v>46135</v>
      </c>
      <c r="B191" s="94" t="s">
        <v>13</v>
      </c>
      <c r="C191" s="94" t="s">
        <v>15</v>
      </c>
      <c r="D191" s="100" t="str">
        <f>VLOOKUP(B191,Punten!$C$3:$AD$224,25,0)</f>
        <v xml:space="preserve"> </v>
      </c>
      <c r="E191" s="100" t="str">
        <f>VLOOKUP(C191,Punten!$C$3:$AD$224,25,0)</f>
        <v xml:space="preserve"> </v>
      </c>
    </row>
    <row r="192" spans="1:5" ht="15" customHeight="1">
      <c r="A192" s="92">
        <v>46135</v>
      </c>
      <c r="B192" s="94" t="s">
        <v>10</v>
      </c>
      <c r="C192" s="94" t="s">
        <v>6</v>
      </c>
      <c r="D192" s="100" t="str">
        <f>VLOOKUP(B192,Punten!$C$3:$AD$224,25,0)</f>
        <v xml:space="preserve"> </v>
      </c>
      <c r="E192" s="100" t="str">
        <f>VLOOKUP(C192,Punten!$C$3:$AD$224,25,0)</f>
        <v xml:space="preserve"> </v>
      </c>
    </row>
    <row r="193" spans="1:5" ht="15" customHeight="1">
      <c r="A193" s="93">
        <v>46136</v>
      </c>
      <c r="B193" s="94" t="s">
        <v>12</v>
      </c>
      <c r="C193" s="94" t="s">
        <v>290</v>
      </c>
      <c r="D193" s="100" t="str">
        <f>VLOOKUP(B193,Punten!$C$3:$AD$224,25,0)</f>
        <v xml:space="preserve"> </v>
      </c>
      <c r="E193" s="100" t="str">
        <f>VLOOKUP(C193,Punten!$C$3:$AD$224,25,0)</f>
        <v xml:space="preserve"> </v>
      </c>
    </row>
    <row r="194" spans="1:5" ht="7.95" customHeight="1">
      <c r="A194" s="92"/>
      <c r="B194" s="94"/>
      <c r="C194" s="94"/>
      <c r="D194" s="100"/>
      <c r="E194" s="100"/>
    </row>
    <row r="195" spans="1:5" ht="15" customHeight="1">
      <c r="A195" s="92">
        <v>46146</v>
      </c>
      <c r="B195" s="94" t="s">
        <v>15</v>
      </c>
      <c r="C195" s="94" t="s">
        <v>7</v>
      </c>
      <c r="D195" s="100" t="str">
        <f>VLOOKUP(B195,Punten!$C$3:$AD$224,26,0)</f>
        <v xml:space="preserve"> </v>
      </c>
      <c r="E195" s="100" t="str">
        <f>VLOOKUP(C195,Punten!$C$3:$AD$224,26,0)</f>
        <v xml:space="preserve"> </v>
      </c>
    </row>
    <row r="196" spans="1:5" ht="15" customHeight="1">
      <c r="A196" s="93">
        <v>46146</v>
      </c>
      <c r="B196" s="94" t="s">
        <v>11</v>
      </c>
      <c r="C196" s="94" t="s">
        <v>5</v>
      </c>
      <c r="D196" s="100" t="str">
        <f>VLOOKUP(B196,Punten!$C$3:$AD$224,26,0)</f>
        <v xml:space="preserve"> </v>
      </c>
      <c r="E196" s="100" t="str">
        <f>VLOOKUP(C196,Punten!$C$3:$AD$224,26,0)</f>
        <v xml:space="preserve"> </v>
      </c>
    </row>
    <row r="197" spans="1:5" ht="15" customHeight="1">
      <c r="A197" s="92">
        <v>46146</v>
      </c>
      <c r="B197" s="94" t="s">
        <v>289</v>
      </c>
      <c r="C197" s="101" t="s">
        <v>13</v>
      </c>
      <c r="D197" s="100" t="str">
        <f>VLOOKUP(B197,Punten!$C$3:$AD$224,26,0)</f>
        <v xml:space="preserve"> </v>
      </c>
      <c r="E197" s="100" t="str">
        <f>VLOOKUP(C197,Punten!$C$3:$AD$224,26,0)</f>
        <v xml:space="preserve"> </v>
      </c>
    </row>
    <row r="198" spans="1:5" ht="15" customHeight="1">
      <c r="A198" s="92">
        <v>46147</v>
      </c>
      <c r="B198" s="94" t="s">
        <v>8</v>
      </c>
      <c r="C198" s="94" t="s">
        <v>16</v>
      </c>
      <c r="D198" s="100" t="str">
        <f>VLOOKUP(B198,Punten!$C$3:$AD$224,26,0)</f>
        <v xml:space="preserve"> </v>
      </c>
      <c r="E198" s="100" t="str">
        <f>VLOOKUP(C198,Punten!$C$3:$AD$224,26,0)</f>
        <v xml:space="preserve"> </v>
      </c>
    </row>
    <row r="199" spans="1:5" ht="15" customHeight="1">
      <c r="A199" s="92">
        <v>46147</v>
      </c>
      <c r="B199" s="94" t="s">
        <v>290</v>
      </c>
      <c r="C199" s="94" t="s">
        <v>10</v>
      </c>
      <c r="D199" s="100" t="str">
        <f>VLOOKUP(B199,Punten!$C$3:$AD$224,26,0)</f>
        <v xml:space="preserve"> </v>
      </c>
      <c r="E199" s="100" t="str">
        <f>VLOOKUP(C199,Punten!$C$3:$AD$224,26,0)</f>
        <v xml:space="preserve"> </v>
      </c>
    </row>
    <row r="200" spans="1:5" ht="15" customHeight="1">
      <c r="A200" s="92">
        <v>46147</v>
      </c>
      <c r="B200" s="94" t="s">
        <v>9</v>
      </c>
      <c r="C200" s="94" t="s">
        <v>12</v>
      </c>
      <c r="D200" s="100" t="str">
        <f>VLOOKUP(B200,Punten!$C$3:$AD$224,26,0)</f>
        <v xml:space="preserve"> </v>
      </c>
      <c r="E200" s="100" t="str">
        <f>VLOOKUP(C200,Punten!$C$3:$AD$224,26,0)</f>
        <v xml:space="preserve"> </v>
      </c>
    </row>
    <row r="201" spans="1:5" ht="15" customHeight="1">
      <c r="A201" s="92">
        <v>46148</v>
      </c>
      <c r="B201" s="94" t="s">
        <v>6</v>
      </c>
      <c r="C201" s="94" t="s">
        <v>14</v>
      </c>
      <c r="D201" s="100" t="str">
        <f>VLOOKUP(B201,Punten!$C$3:$AD$224,26,0)</f>
        <v xml:space="preserve"> </v>
      </c>
      <c r="E201" s="100" t="str">
        <f>VLOOKUP(C201,Punten!$C$3:$AD$224,26,0)</f>
        <v xml:space="preserve"> </v>
      </c>
    </row>
    <row r="202" spans="1:5" ht="7.95" customHeight="1">
      <c r="A202" s="92"/>
      <c r="B202" s="94"/>
      <c r="C202" s="94"/>
      <c r="D202" s="100"/>
      <c r="E202" s="100"/>
    </row>
    <row r="203" spans="1:5" ht="15" customHeight="1">
      <c r="A203" s="92">
        <v>46153</v>
      </c>
      <c r="B203" s="94" t="s">
        <v>15</v>
      </c>
      <c r="C203" s="94" t="s">
        <v>289</v>
      </c>
      <c r="D203" s="100" t="str">
        <f>VLOOKUP(B203,Punten!$C$3:$AD$224,27,0)</f>
        <v xml:space="preserve"> </v>
      </c>
      <c r="E203" s="100" t="str">
        <f>VLOOKUP(C203,Punten!$C$3:$AD$224,27,0)</f>
        <v xml:space="preserve"> </v>
      </c>
    </row>
    <row r="204" spans="1:5" ht="15" customHeight="1">
      <c r="A204" s="92">
        <v>46153</v>
      </c>
      <c r="B204" s="94" t="s">
        <v>7</v>
      </c>
      <c r="C204" s="94" t="s">
        <v>16</v>
      </c>
      <c r="D204" s="100" t="str">
        <f>VLOOKUP(B204,Punten!$C$3:$AD$224,27,0)</f>
        <v xml:space="preserve"> </v>
      </c>
      <c r="E204" s="100" t="str">
        <f>VLOOKUP(C204,Punten!$C$3:$AD$224,27,0)</f>
        <v xml:space="preserve"> </v>
      </c>
    </row>
    <row r="205" spans="1:5" ht="15" customHeight="1">
      <c r="A205" s="92">
        <v>46153</v>
      </c>
      <c r="B205" s="94" t="s">
        <v>14</v>
      </c>
      <c r="C205" s="94" t="s">
        <v>290</v>
      </c>
      <c r="D205" s="100" t="str">
        <f>VLOOKUP(B205,Punten!$C$3:$AD$224,27,0)</f>
        <v xml:space="preserve"> </v>
      </c>
      <c r="E205" s="100" t="str">
        <f>VLOOKUP(C205,Punten!$C$3:$AD$224,27,0)</f>
        <v xml:space="preserve"> </v>
      </c>
    </row>
    <row r="206" spans="1:5" ht="15" customHeight="1">
      <c r="A206" s="113">
        <v>46154</v>
      </c>
      <c r="B206" s="116" t="s">
        <v>13</v>
      </c>
      <c r="C206" s="116" t="s">
        <v>11</v>
      </c>
      <c r="D206" s="100" t="str">
        <f>VLOOKUP(B206,Punten!$C$3:$AD$224,27,0)</f>
        <v xml:space="preserve"> </v>
      </c>
      <c r="E206" s="100" t="str">
        <f>VLOOKUP(C206,Punten!$C$3:$AD$224,27,0)</f>
        <v xml:space="preserve"> </v>
      </c>
    </row>
    <row r="207" spans="1:5" ht="15" customHeight="1">
      <c r="A207" s="112">
        <v>46154</v>
      </c>
      <c r="B207" s="116" t="s">
        <v>10</v>
      </c>
      <c r="C207" s="116" t="s">
        <v>9</v>
      </c>
      <c r="D207" s="100" t="str">
        <f>VLOOKUP(B207,Punten!$C$3:$AD$224,27,0)</f>
        <v xml:space="preserve"> </v>
      </c>
      <c r="E207" s="100" t="str">
        <f>VLOOKUP(C207,Punten!$C$3:$AD$224,27,0)</f>
        <v xml:space="preserve"> </v>
      </c>
    </row>
    <row r="208" spans="1:5" ht="15" customHeight="1">
      <c r="A208" s="92">
        <v>46155</v>
      </c>
      <c r="B208" s="94" t="s">
        <v>5</v>
      </c>
      <c r="C208" s="101" t="s">
        <v>6</v>
      </c>
      <c r="D208" s="100" t="str">
        <f>VLOOKUP(B208,Punten!$C$3:$AD$224,27,0)</f>
        <v xml:space="preserve"> </v>
      </c>
      <c r="E208" s="100" t="str">
        <f>VLOOKUP(C208,Punten!$C$3:$AD$224,27,0)</f>
        <v xml:space="preserve"> </v>
      </c>
    </row>
    <row r="209" spans="1:7" ht="15" customHeight="1">
      <c r="A209" s="92">
        <v>46157</v>
      </c>
      <c r="B209" s="94" t="s">
        <v>12</v>
      </c>
      <c r="C209" s="94" t="s">
        <v>8</v>
      </c>
      <c r="D209" s="100" t="str">
        <f>VLOOKUP(B209,Punten!$C$3:$AD$224,27,0)</f>
        <v xml:space="preserve"> </v>
      </c>
      <c r="E209" s="100" t="str">
        <f>VLOOKUP(C209,Punten!$C$3:$AD$224,27,0)</f>
        <v xml:space="preserve"> </v>
      </c>
    </row>
    <row r="210" spans="1:7" ht="7.95" customHeight="1">
      <c r="A210" s="92"/>
      <c r="B210" s="94"/>
      <c r="C210" s="94"/>
      <c r="D210" s="100"/>
      <c r="E210" s="100"/>
    </row>
    <row r="211" spans="1:7" ht="15" customHeight="1">
      <c r="A211" s="92">
        <v>46160</v>
      </c>
      <c r="B211" s="94" t="s">
        <v>7</v>
      </c>
      <c r="C211" s="94" t="s">
        <v>12</v>
      </c>
      <c r="D211" s="100" t="str">
        <f>VLOOKUP(B211,Punten!$C$3:$AD$224,28,0)</f>
        <v xml:space="preserve"> </v>
      </c>
      <c r="E211" s="100" t="str">
        <f>VLOOKUP(C211,Punten!$C$3:$AD$224,28,0)</f>
        <v xml:space="preserve"> </v>
      </c>
    </row>
    <row r="212" spans="1:7" ht="15" customHeight="1">
      <c r="A212" s="92">
        <v>46161</v>
      </c>
      <c r="B212" s="94" t="s">
        <v>9</v>
      </c>
      <c r="C212" s="94" t="s">
        <v>14</v>
      </c>
      <c r="D212" s="100" t="str">
        <f>VLOOKUP(B212,Punten!$C$3:$AD$224,28,0)</f>
        <v xml:space="preserve"> </v>
      </c>
      <c r="E212" s="100" t="str">
        <f>VLOOKUP(C212,Punten!$C$3:$AD$224,28,0)</f>
        <v xml:space="preserve"> </v>
      </c>
    </row>
    <row r="213" spans="1:7" ht="15" customHeight="1">
      <c r="A213" s="92">
        <v>46161</v>
      </c>
      <c r="B213" s="101" t="s">
        <v>16</v>
      </c>
      <c r="C213" s="94" t="s">
        <v>15</v>
      </c>
      <c r="D213" s="100" t="str">
        <f>VLOOKUP(B213,Punten!$C$3:$AD$224,28,0)</f>
        <v xml:space="preserve"> </v>
      </c>
      <c r="E213" s="100" t="str">
        <f>VLOOKUP(C213,Punten!$C$3:$AD$224,28,0)</f>
        <v xml:space="preserve"> </v>
      </c>
    </row>
    <row r="214" spans="1:7" ht="15" customHeight="1">
      <c r="A214" s="93">
        <v>46161</v>
      </c>
      <c r="B214" s="94" t="s">
        <v>290</v>
      </c>
      <c r="C214" s="94" t="s">
        <v>5</v>
      </c>
      <c r="D214" s="100" t="str">
        <f>VLOOKUP(B214,Punten!$C$3:$AD$224,28,0)</f>
        <v xml:space="preserve"> </v>
      </c>
      <c r="E214" s="100" t="str">
        <f>VLOOKUP(C214,Punten!$C$3:$AD$224,28,0)</f>
        <v xml:space="preserve"> </v>
      </c>
    </row>
    <row r="215" spans="1:7">
      <c r="A215" s="92">
        <v>46161</v>
      </c>
      <c r="B215" s="94" t="s">
        <v>8</v>
      </c>
      <c r="C215" s="94" t="s">
        <v>10</v>
      </c>
      <c r="D215" s="100" t="str">
        <f>VLOOKUP(B215,Punten!$C$3:$AD$224,28,0)</f>
        <v xml:space="preserve"> </v>
      </c>
      <c r="E215" s="100" t="str">
        <f>VLOOKUP(C215,Punten!$C$3:$AD$224,28,0)</f>
        <v xml:space="preserve"> </v>
      </c>
    </row>
    <row r="216" spans="1:7">
      <c r="A216" s="92">
        <v>46162</v>
      </c>
      <c r="B216" s="94" t="s">
        <v>6</v>
      </c>
      <c r="C216" s="94" t="s">
        <v>13</v>
      </c>
      <c r="D216" s="100" t="str">
        <f>VLOOKUP(B216,Punten!$C$3:$AD$224,28,0)</f>
        <v xml:space="preserve"> </v>
      </c>
      <c r="E216" s="100" t="str">
        <f>VLOOKUP(C216,Punten!$C$3:$AD$224,28,0)</f>
        <v xml:space="preserve"> </v>
      </c>
    </row>
    <row r="217" spans="1:7">
      <c r="A217" s="92">
        <v>46163</v>
      </c>
      <c r="B217" s="94" t="s">
        <v>11</v>
      </c>
      <c r="C217" s="94" t="s">
        <v>289</v>
      </c>
      <c r="D217" s="100" t="str">
        <f>VLOOKUP(B217,Punten!$C$3:$AD$224,28,0)</f>
        <v xml:space="preserve"> </v>
      </c>
      <c r="E217" s="100" t="str">
        <f>VLOOKUP(C217,Punten!$C$3:$AD$224,28,0)</f>
        <v xml:space="preserve"> </v>
      </c>
    </row>
    <row r="218" spans="1:7" s="58" customFormat="1" ht="15.6" customHeight="1">
      <c r="A218" s="315" t="s">
        <v>317</v>
      </c>
      <c r="B218" s="316"/>
      <c r="C218" s="163" t="s">
        <v>344</v>
      </c>
      <c r="E218" s="59"/>
      <c r="F218" s="59"/>
      <c r="G218" s="59"/>
    </row>
    <row r="219" spans="1:7">
      <c r="A219" s="313" t="s">
        <v>348</v>
      </c>
      <c r="B219" s="314"/>
      <c r="C219" s="314"/>
      <c r="D219" s="314"/>
      <c r="E219" s="314"/>
    </row>
    <row r="220" spans="1:7">
      <c r="A220" s="92"/>
      <c r="B220" s="94"/>
      <c r="C220" s="94"/>
      <c r="D220" s="100"/>
      <c r="E220" s="100"/>
    </row>
    <row r="221" spans="1:7">
      <c r="A221" s="92"/>
      <c r="B221" s="94"/>
      <c r="C221" s="94"/>
      <c r="D221" s="100"/>
      <c r="E221" s="100"/>
    </row>
    <row r="222" spans="1:7">
      <c r="A222" s="92"/>
      <c r="B222" s="94"/>
      <c r="C222" s="94"/>
      <c r="D222" s="100"/>
      <c r="E222" s="100"/>
    </row>
    <row r="223" spans="1:7">
      <c r="A223" s="92"/>
      <c r="B223" s="106"/>
      <c r="C223" s="106"/>
      <c r="D223" s="104"/>
      <c r="E223" s="104"/>
    </row>
    <row r="224" spans="1:7">
      <c r="A224" s="92"/>
      <c r="B224" s="106"/>
      <c r="C224" s="106"/>
      <c r="D224" s="104"/>
      <c r="E224" s="104"/>
    </row>
    <row r="225" spans="1:5">
      <c r="A225" s="92"/>
      <c r="B225" s="94"/>
      <c r="C225" s="106"/>
      <c r="D225" s="104"/>
      <c r="E225" s="104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22</v>
      </c>
      <c r="B2" s="333" t="s">
        <v>42</v>
      </c>
      <c r="C2" s="335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48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51</v>
      </c>
      <c r="B4" s="131">
        <v>19</v>
      </c>
      <c r="C4" s="154"/>
      <c r="D4" s="155">
        <v>14</v>
      </c>
      <c r="E4" s="155"/>
      <c r="F4" s="155">
        <v>29</v>
      </c>
      <c r="G4" s="155">
        <v>26</v>
      </c>
      <c r="H4" s="155"/>
      <c r="I4" s="155"/>
      <c r="J4" s="155"/>
      <c r="K4" s="155">
        <v>23</v>
      </c>
      <c r="L4" s="155"/>
      <c r="M4" s="155">
        <v>20</v>
      </c>
      <c r="N4" s="155">
        <v>22</v>
      </c>
      <c r="O4" s="156"/>
      <c r="P4" s="9">
        <f>SUM(C4:O4)</f>
        <v>134</v>
      </c>
      <c r="Q4" s="8">
        <f>COUNTIF(C4:O4,"&gt;0")</f>
        <v>6</v>
      </c>
      <c r="R4" s="118">
        <f>IF(P4=0," ",P4/Q4)</f>
        <v>22.333333333333332</v>
      </c>
      <c r="S4" s="243">
        <f>IF(P4=0," ",P4/(Q4*B4)*100)</f>
        <v>117.54385964912282</v>
      </c>
      <c r="T4" s="131">
        <v>19</v>
      </c>
      <c r="U4" s="154">
        <v>17</v>
      </c>
      <c r="V4" s="155">
        <v>28</v>
      </c>
      <c r="W4" s="233">
        <v>21</v>
      </c>
      <c r="X4" s="155"/>
      <c r="Y4" s="155">
        <v>23</v>
      </c>
      <c r="Z4" s="155"/>
      <c r="AA4" s="155">
        <v>15</v>
      </c>
      <c r="AB4" s="155"/>
      <c r="AC4" s="155"/>
      <c r="AD4" s="155"/>
      <c r="AE4" s="155"/>
      <c r="AF4" s="155"/>
      <c r="AG4" s="156"/>
      <c r="AH4" s="9">
        <f>SUM(U4:AG4)</f>
        <v>104</v>
      </c>
      <c r="AI4" s="8">
        <f>COUNTIF(U4:AG4,"&gt;0")</f>
        <v>5</v>
      </c>
      <c r="AJ4" s="90">
        <f>IF(AH4=0," ",AH4/AI4)</f>
        <v>20.8</v>
      </c>
      <c r="AK4" s="74"/>
      <c r="AL4" s="117">
        <f t="shared" ref="AL4" si="0">P4+AH4</f>
        <v>238</v>
      </c>
      <c r="AM4" s="118">
        <f t="shared" ref="AM4" si="1">Q4+AI4</f>
        <v>11</v>
      </c>
      <c r="AN4" s="118">
        <f>IF(AL4=0," ",AL4/AM4)</f>
        <v>21.636363636363637</v>
      </c>
      <c r="AO4" s="243">
        <f>IF(AL4=0," ",AL4/(AM4*T4)*100)</f>
        <v>113.8755980861244</v>
      </c>
      <c r="AP4" s="248">
        <f>IF($AM4&gt;=$AP$1,$AL4/($AM4*$T4)*100,"0")</f>
        <v>113.8755980861244</v>
      </c>
    </row>
    <row r="5" spans="1:48" s="10" customFormat="1" ht="20.100000000000001" customHeight="1">
      <c r="A5" s="26" t="s">
        <v>284</v>
      </c>
      <c r="B5" s="67">
        <v>35</v>
      </c>
      <c r="C5" s="157">
        <v>36</v>
      </c>
      <c r="D5" s="158"/>
      <c r="E5" s="158"/>
      <c r="F5" s="158"/>
      <c r="G5" s="158"/>
      <c r="H5" s="158"/>
      <c r="I5" s="158">
        <v>39</v>
      </c>
      <c r="J5" s="158">
        <v>23</v>
      </c>
      <c r="K5" s="158"/>
      <c r="L5" s="158"/>
      <c r="M5" s="158">
        <v>33</v>
      </c>
      <c r="N5" s="158"/>
      <c r="O5" s="159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1">
        <f t="shared" ref="R5:R18" si="4">IF(P5=0," ",P5/Q5)</f>
        <v>33.4</v>
      </c>
      <c r="S5" s="244">
        <f t="shared" ref="S5:S18" si="5">IF(P5=0," ",P5/(Q5*B5)*100)</f>
        <v>95.428571428571431</v>
      </c>
      <c r="T5" s="67">
        <v>35</v>
      </c>
      <c r="U5" s="157"/>
      <c r="V5" s="158"/>
      <c r="W5" s="158"/>
      <c r="X5" s="158"/>
      <c r="Y5" s="158">
        <v>52</v>
      </c>
      <c r="Z5" s="158">
        <v>34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86</v>
      </c>
      <c r="AI5" s="11">
        <f t="shared" ref="AI5:AI18" si="7">COUNTIF(U5:AG5,"&gt;0")</f>
        <v>2</v>
      </c>
      <c r="AJ5" s="12">
        <f t="shared" ref="AJ5:AJ18" si="8">IF(AH5=0," ",AH5/AI5)</f>
        <v>43</v>
      </c>
      <c r="AK5" s="74"/>
      <c r="AL5" s="119">
        <f t="shared" ref="AL5:AL18" si="9">P5+AH5</f>
        <v>253</v>
      </c>
      <c r="AM5" s="91">
        <f t="shared" ref="AM5:AM18" si="10">Q5+AI5</f>
        <v>7</v>
      </c>
      <c r="AN5" s="91">
        <f t="shared" ref="AN5:AN18" si="11">IF(AL5=0," ",AL5/AM5)</f>
        <v>36.142857142857146</v>
      </c>
      <c r="AO5" s="244">
        <f t="shared" ref="AO5:AO18" si="12">IF(AL5=0," ",AL5/(AM5*T5)*100)</f>
        <v>103.26530612244898</v>
      </c>
      <c r="AP5" s="248">
        <f t="shared" ref="AP5:AP18" si="13">IF($AM5&gt;=$AP$1,$AL5/($AM5*$T5)*100,"0")</f>
        <v>103.26530612244898</v>
      </c>
    </row>
    <row r="6" spans="1:48" s="10" customFormat="1" ht="20.100000000000001" customHeight="1">
      <c r="A6" s="26" t="s">
        <v>52</v>
      </c>
      <c r="B6" s="67">
        <v>23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9"/>
      <c r="P6" s="13">
        <f t="shared" si="2"/>
        <v>0</v>
      </c>
      <c r="Q6" s="11">
        <f t="shared" si="3"/>
        <v>0</v>
      </c>
      <c r="R6" s="91" t="str">
        <f t="shared" si="4"/>
        <v xml:space="preserve"> </v>
      </c>
      <c r="S6" s="244" t="str">
        <f t="shared" si="5"/>
        <v xml:space="preserve"> </v>
      </c>
      <c r="T6" s="67">
        <v>23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0</v>
      </c>
      <c r="AM6" s="91">
        <f t="shared" si="10"/>
        <v>0</v>
      </c>
      <c r="AN6" s="91" t="str">
        <f t="shared" si="11"/>
        <v xml:space="preserve"> </v>
      </c>
      <c r="AO6" s="244" t="str">
        <f t="shared" si="12"/>
        <v xml:space="preserve"> </v>
      </c>
      <c r="AP6" s="248" t="str">
        <f t="shared" si="13"/>
        <v>0</v>
      </c>
    </row>
    <row r="7" spans="1:48" s="10" customFormat="1" ht="20.100000000000001" customHeight="1">
      <c r="A7" s="26" t="s">
        <v>53</v>
      </c>
      <c r="B7" s="67">
        <v>26</v>
      </c>
      <c r="C7" s="157">
        <v>41</v>
      </c>
      <c r="D7" s="158"/>
      <c r="E7" s="158">
        <v>18</v>
      </c>
      <c r="F7" s="158">
        <v>41</v>
      </c>
      <c r="G7" s="158">
        <v>24</v>
      </c>
      <c r="H7" s="158"/>
      <c r="I7" s="158"/>
      <c r="J7" s="158">
        <v>24</v>
      </c>
      <c r="K7" s="158">
        <v>19</v>
      </c>
      <c r="L7" s="158">
        <v>17</v>
      </c>
      <c r="M7" s="158"/>
      <c r="N7" s="158">
        <v>17</v>
      </c>
      <c r="O7" s="159">
        <v>26</v>
      </c>
      <c r="P7" s="13">
        <f t="shared" si="2"/>
        <v>227</v>
      </c>
      <c r="Q7" s="11">
        <f t="shared" si="3"/>
        <v>9</v>
      </c>
      <c r="R7" s="91">
        <f t="shared" si="4"/>
        <v>25.222222222222221</v>
      </c>
      <c r="S7" s="244">
        <f t="shared" si="5"/>
        <v>97.008547008547012</v>
      </c>
      <c r="T7" s="67">
        <v>26</v>
      </c>
      <c r="U7" s="157">
        <v>33</v>
      </c>
      <c r="V7" s="158"/>
      <c r="W7" s="232">
        <v>24</v>
      </c>
      <c r="X7" s="158">
        <v>14</v>
      </c>
      <c r="Y7" s="158"/>
      <c r="Z7" s="158">
        <v>20</v>
      </c>
      <c r="AA7" s="158">
        <v>28</v>
      </c>
      <c r="AB7" s="158"/>
      <c r="AC7" s="158"/>
      <c r="AD7" s="158"/>
      <c r="AE7" s="158"/>
      <c r="AF7" s="158"/>
      <c r="AG7" s="159"/>
      <c r="AH7" s="13">
        <f t="shared" si="6"/>
        <v>119</v>
      </c>
      <c r="AI7" s="11">
        <f t="shared" si="7"/>
        <v>5</v>
      </c>
      <c r="AJ7" s="12">
        <f t="shared" si="8"/>
        <v>23.8</v>
      </c>
      <c r="AK7" s="74"/>
      <c r="AL7" s="119">
        <f t="shared" si="9"/>
        <v>346</v>
      </c>
      <c r="AM7" s="91">
        <f t="shared" si="10"/>
        <v>14</v>
      </c>
      <c r="AN7" s="91">
        <f t="shared" si="11"/>
        <v>24.714285714285715</v>
      </c>
      <c r="AO7" s="244">
        <f t="shared" si="12"/>
        <v>95.054945054945051</v>
      </c>
      <c r="AP7" s="248">
        <f t="shared" si="13"/>
        <v>95.054945054945051</v>
      </c>
    </row>
    <row r="8" spans="1:48" s="10" customFormat="1" ht="20.100000000000001" customHeight="1">
      <c r="A8" s="26" t="s">
        <v>54</v>
      </c>
      <c r="B8" s="67">
        <v>48</v>
      </c>
      <c r="C8" s="157"/>
      <c r="D8" s="158">
        <v>19</v>
      </c>
      <c r="E8" s="158">
        <v>34</v>
      </c>
      <c r="F8" s="158">
        <v>36</v>
      </c>
      <c r="G8" s="158"/>
      <c r="H8" s="158">
        <v>33</v>
      </c>
      <c r="I8" s="158">
        <v>51</v>
      </c>
      <c r="J8" s="158"/>
      <c r="K8" s="158"/>
      <c r="L8" s="158">
        <v>34</v>
      </c>
      <c r="M8" s="158"/>
      <c r="N8" s="158">
        <v>51</v>
      </c>
      <c r="O8" s="159">
        <v>51</v>
      </c>
      <c r="P8" s="13">
        <f t="shared" si="2"/>
        <v>309</v>
      </c>
      <c r="Q8" s="11">
        <f t="shared" si="3"/>
        <v>8</v>
      </c>
      <c r="R8" s="91">
        <f t="shared" si="4"/>
        <v>38.625</v>
      </c>
      <c r="S8" s="244">
        <f t="shared" si="5"/>
        <v>80.46875</v>
      </c>
      <c r="T8" s="67">
        <v>48</v>
      </c>
      <c r="U8" s="157"/>
      <c r="V8" s="158">
        <v>31</v>
      </c>
      <c r="W8" s="232">
        <v>19</v>
      </c>
      <c r="X8" s="158"/>
      <c r="Y8" s="158"/>
      <c r="Z8" s="158">
        <v>28</v>
      </c>
      <c r="AA8" s="158">
        <v>49</v>
      </c>
      <c r="AB8" s="158"/>
      <c r="AC8" s="158"/>
      <c r="AD8" s="158"/>
      <c r="AE8" s="158"/>
      <c r="AF8" s="158"/>
      <c r="AG8" s="159"/>
      <c r="AH8" s="13">
        <f t="shared" si="6"/>
        <v>127</v>
      </c>
      <c r="AI8" s="11">
        <f t="shared" si="7"/>
        <v>4</v>
      </c>
      <c r="AJ8" s="12">
        <f t="shared" si="8"/>
        <v>31.75</v>
      </c>
      <c r="AK8" s="74"/>
      <c r="AL8" s="119">
        <f t="shared" si="9"/>
        <v>436</v>
      </c>
      <c r="AM8" s="91">
        <f t="shared" si="10"/>
        <v>12</v>
      </c>
      <c r="AN8" s="91">
        <f t="shared" si="11"/>
        <v>36.333333333333336</v>
      </c>
      <c r="AO8" s="244">
        <f t="shared" si="12"/>
        <v>75.694444444444443</v>
      </c>
      <c r="AP8" s="248">
        <f t="shared" si="13"/>
        <v>75.694444444444443</v>
      </c>
    </row>
    <row r="9" spans="1:48" s="10" customFormat="1" ht="20.100000000000001" customHeight="1">
      <c r="A9" s="66" t="s">
        <v>55</v>
      </c>
      <c r="B9" s="67">
        <v>25</v>
      </c>
      <c r="C9" s="157">
        <v>29</v>
      </c>
      <c r="D9" s="158"/>
      <c r="E9" s="158"/>
      <c r="F9" s="158">
        <v>15</v>
      </c>
      <c r="G9" s="158"/>
      <c r="H9" s="158">
        <v>18</v>
      </c>
      <c r="I9" s="158">
        <v>17</v>
      </c>
      <c r="J9" s="158"/>
      <c r="K9" s="158">
        <v>27</v>
      </c>
      <c r="L9" s="158"/>
      <c r="M9" s="158">
        <v>14</v>
      </c>
      <c r="N9" s="158"/>
      <c r="O9" s="159"/>
      <c r="P9" s="13">
        <f t="shared" si="2"/>
        <v>120</v>
      </c>
      <c r="Q9" s="11">
        <f t="shared" si="3"/>
        <v>6</v>
      </c>
      <c r="R9" s="91">
        <f t="shared" si="4"/>
        <v>20</v>
      </c>
      <c r="S9" s="244">
        <f t="shared" si="5"/>
        <v>80</v>
      </c>
      <c r="T9" s="67">
        <v>25</v>
      </c>
      <c r="U9" s="157">
        <v>25</v>
      </c>
      <c r="V9" s="158">
        <v>24</v>
      </c>
      <c r="W9" s="158"/>
      <c r="X9" s="158">
        <v>26</v>
      </c>
      <c r="Y9" s="158">
        <v>26</v>
      </c>
      <c r="Z9" s="158">
        <v>15</v>
      </c>
      <c r="AA9" s="158">
        <v>12</v>
      </c>
      <c r="AB9" s="158"/>
      <c r="AC9" s="158"/>
      <c r="AD9" s="158"/>
      <c r="AE9" s="158"/>
      <c r="AF9" s="158"/>
      <c r="AG9" s="159"/>
      <c r="AH9" s="13">
        <f t="shared" si="6"/>
        <v>128</v>
      </c>
      <c r="AI9" s="11">
        <f t="shared" si="7"/>
        <v>6</v>
      </c>
      <c r="AJ9" s="12">
        <f t="shared" si="8"/>
        <v>21.333333333333332</v>
      </c>
      <c r="AK9" s="74"/>
      <c r="AL9" s="119">
        <f t="shared" si="9"/>
        <v>248</v>
      </c>
      <c r="AM9" s="91">
        <f t="shared" si="10"/>
        <v>12</v>
      </c>
      <c r="AN9" s="91">
        <f t="shared" si="11"/>
        <v>20.666666666666668</v>
      </c>
      <c r="AO9" s="244">
        <f t="shared" si="12"/>
        <v>82.666666666666671</v>
      </c>
      <c r="AP9" s="248">
        <f t="shared" si="13"/>
        <v>82.666666666666671</v>
      </c>
      <c r="AV9" s="303"/>
    </row>
    <row r="10" spans="1:48" s="10" customFormat="1" ht="20.100000000000001" customHeight="1">
      <c r="A10" s="26" t="s">
        <v>56</v>
      </c>
      <c r="B10" s="67">
        <v>15</v>
      </c>
      <c r="C10" s="157"/>
      <c r="D10" s="158">
        <v>14</v>
      </c>
      <c r="E10" s="158">
        <v>14</v>
      </c>
      <c r="F10" s="158"/>
      <c r="G10" s="158">
        <v>9</v>
      </c>
      <c r="H10" s="158"/>
      <c r="I10" s="158">
        <v>16</v>
      </c>
      <c r="J10" s="158"/>
      <c r="K10" s="158">
        <v>20</v>
      </c>
      <c r="L10" s="158">
        <v>17</v>
      </c>
      <c r="M10" s="158"/>
      <c r="N10" s="158">
        <v>16</v>
      </c>
      <c r="O10" s="159">
        <v>12</v>
      </c>
      <c r="P10" s="13">
        <f t="shared" si="2"/>
        <v>118</v>
      </c>
      <c r="Q10" s="11">
        <f t="shared" si="3"/>
        <v>8</v>
      </c>
      <c r="R10" s="91">
        <f t="shared" si="4"/>
        <v>14.75</v>
      </c>
      <c r="S10" s="244">
        <f t="shared" si="5"/>
        <v>98.333333333333329</v>
      </c>
      <c r="T10" s="67">
        <v>15</v>
      </c>
      <c r="U10" s="157"/>
      <c r="V10" s="158">
        <v>12</v>
      </c>
      <c r="W10" s="158"/>
      <c r="X10" s="158"/>
      <c r="Y10" s="158">
        <v>13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25</v>
      </c>
      <c r="AI10" s="11">
        <f t="shared" si="7"/>
        <v>2</v>
      </c>
      <c r="AJ10" s="12">
        <f t="shared" si="8"/>
        <v>12.5</v>
      </c>
      <c r="AK10" s="74"/>
      <c r="AL10" s="119">
        <f t="shared" si="9"/>
        <v>143</v>
      </c>
      <c r="AM10" s="91">
        <f t="shared" si="10"/>
        <v>10</v>
      </c>
      <c r="AN10" s="91">
        <f t="shared" si="11"/>
        <v>14.3</v>
      </c>
      <c r="AO10" s="244">
        <f t="shared" si="12"/>
        <v>95.333333333333343</v>
      </c>
      <c r="AP10" s="248">
        <f t="shared" si="13"/>
        <v>95.333333333333343</v>
      </c>
    </row>
    <row r="11" spans="1:48" s="10" customFormat="1" ht="20.100000000000001" customHeight="1">
      <c r="A11" s="26" t="s">
        <v>57</v>
      </c>
      <c r="B11" s="67">
        <v>28</v>
      </c>
      <c r="C11" s="157"/>
      <c r="D11" s="158">
        <v>22</v>
      </c>
      <c r="E11" s="158"/>
      <c r="F11" s="158"/>
      <c r="G11" s="158">
        <v>26</v>
      </c>
      <c r="H11" s="158">
        <v>20</v>
      </c>
      <c r="I11" s="158"/>
      <c r="J11" s="158">
        <v>26</v>
      </c>
      <c r="K11" s="158">
        <v>42</v>
      </c>
      <c r="L11" s="158">
        <v>18</v>
      </c>
      <c r="M11" s="158">
        <v>26</v>
      </c>
      <c r="N11" s="158"/>
      <c r="O11" s="159">
        <v>20</v>
      </c>
      <c r="P11" s="13">
        <f t="shared" si="2"/>
        <v>200</v>
      </c>
      <c r="Q11" s="11">
        <f t="shared" si="3"/>
        <v>8</v>
      </c>
      <c r="R11" s="91">
        <f t="shared" si="4"/>
        <v>25</v>
      </c>
      <c r="S11" s="244">
        <f t="shared" si="5"/>
        <v>89.285714285714292</v>
      </c>
      <c r="T11" s="67">
        <v>28</v>
      </c>
      <c r="U11" s="240">
        <v>21</v>
      </c>
      <c r="V11" s="158">
        <v>21</v>
      </c>
      <c r="W11" s="232">
        <v>22</v>
      </c>
      <c r="X11" s="158">
        <v>27</v>
      </c>
      <c r="Y11" s="158">
        <v>14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105</v>
      </c>
      <c r="AI11" s="11">
        <f t="shared" si="7"/>
        <v>5</v>
      </c>
      <c r="AJ11" s="12">
        <f t="shared" si="8"/>
        <v>21</v>
      </c>
      <c r="AK11" s="74"/>
      <c r="AL11" s="119">
        <f t="shared" si="9"/>
        <v>305</v>
      </c>
      <c r="AM11" s="91">
        <f t="shared" si="10"/>
        <v>13</v>
      </c>
      <c r="AN11" s="91">
        <f t="shared" si="11"/>
        <v>23.46153846153846</v>
      </c>
      <c r="AO11" s="244">
        <f t="shared" si="12"/>
        <v>83.791208791208788</v>
      </c>
      <c r="AP11" s="248">
        <f t="shared" si="13"/>
        <v>83.791208791208788</v>
      </c>
    </row>
    <row r="12" spans="1:48" s="10" customFormat="1" ht="20.100000000000001" customHeight="1">
      <c r="A12" s="26" t="s">
        <v>58</v>
      </c>
      <c r="B12" s="67">
        <v>25</v>
      </c>
      <c r="C12" s="157">
        <v>30</v>
      </c>
      <c r="D12" s="158">
        <v>19</v>
      </c>
      <c r="E12" s="158">
        <v>22</v>
      </c>
      <c r="F12" s="158">
        <v>48</v>
      </c>
      <c r="G12" s="158">
        <v>11</v>
      </c>
      <c r="H12" s="158">
        <v>25</v>
      </c>
      <c r="I12" s="158"/>
      <c r="J12" s="158">
        <v>23</v>
      </c>
      <c r="K12" s="158">
        <v>23</v>
      </c>
      <c r="L12" s="158">
        <v>30</v>
      </c>
      <c r="M12" s="158"/>
      <c r="N12" s="158">
        <v>14</v>
      </c>
      <c r="O12" s="159"/>
      <c r="P12" s="13">
        <f t="shared" si="2"/>
        <v>245</v>
      </c>
      <c r="Q12" s="11">
        <f t="shared" si="3"/>
        <v>10</v>
      </c>
      <c r="R12" s="91">
        <f t="shared" si="4"/>
        <v>24.5</v>
      </c>
      <c r="S12" s="244">
        <f t="shared" si="5"/>
        <v>98</v>
      </c>
      <c r="T12" s="67">
        <v>25</v>
      </c>
      <c r="U12" s="157">
        <v>29</v>
      </c>
      <c r="V12" s="158">
        <v>24</v>
      </c>
      <c r="W12" s="158"/>
      <c r="X12" s="158">
        <v>18</v>
      </c>
      <c r="Y12" s="158"/>
      <c r="Z12" s="158"/>
      <c r="AA12" s="158">
        <v>24</v>
      </c>
      <c r="AB12" s="158"/>
      <c r="AC12" s="158"/>
      <c r="AD12" s="158"/>
      <c r="AE12" s="158"/>
      <c r="AF12" s="158"/>
      <c r="AG12" s="159"/>
      <c r="AH12" s="13">
        <f t="shared" si="6"/>
        <v>95</v>
      </c>
      <c r="AI12" s="11">
        <f t="shared" si="7"/>
        <v>4</v>
      </c>
      <c r="AJ12" s="12">
        <f t="shared" si="8"/>
        <v>23.75</v>
      </c>
      <c r="AK12" s="74"/>
      <c r="AL12" s="119">
        <f t="shared" si="9"/>
        <v>340</v>
      </c>
      <c r="AM12" s="91">
        <f t="shared" si="10"/>
        <v>14</v>
      </c>
      <c r="AN12" s="91">
        <f t="shared" si="11"/>
        <v>24.285714285714285</v>
      </c>
      <c r="AO12" s="244">
        <f t="shared" si="12"/>
        <v>97.142857142857139</v>
      </c>
      <c r="AP12" s="248">
        <f t="shared" si="13"/>
        <v>97.142857142857139</v>
      </c>
    </row>
    <row r="13" spans="1:48" s="10" customFormat="1" ht="20.100000000000001" customHeight="1">
      <c r="A13" s="26" t="s">
        <v>59</v>
      </c>
      <c r="B13" s="67">
        <v>29</v>
      </c>
      <c r="C13" s="157"/>
      <c r="D13" s="158">
        <v>20</v>
      </c>
      <c r="E13" s="158">
        <v>27</v>
      </c>
      <c r="F13" s="158">
        <v>29</v>
      </c>
      <c r="G13" s="158"/>
      <c r="H13" s="158">
        <v>27</v>
      </c>
      <c r="I13" s="158"/>
      <c r="J13" s="158">
        <v>39</v>
      </c>
      <c r="K13" s="158"/>
      <c r="L13" s="158">
        <v>28</v>
      </c>
      <c r="M13" s="158">
        <v>15</v>
      </c>
      <c r="N13" s="158"/>
      <c r="O13" s="159">
        <v>32</v>
      </c>
      <c r="P13" s="13">
        <f t="shared" si="2"/>
        <v>217</v>
      </c>
      <c r="Q13" s="11">
        <f t="shared" si="3"/>
        <v>8</v>
      </c>
      <c r="R13" s="91">
        <f t="shared" si="4"/>
        <v>27.125</v>
      </c>
      <c r="S13" s="244">
        <f t="shared" si="5"/>
        <v>93.534482758620683</v>
      </c>
      <c r="T13" s="67">
        <v>29</v>
      </c>
      <c r="U13" s="157">
        <v>31</v>
      </c>
      <c r="V13" s="158"/>
      <c r="W13" s="158"/>
      <c r="X13" s="158">
        <v>27</v>
      </c>
      <c r="Y13" s="158">
        <v>24</v>
      </c>
      <c r="Z13" s="158">
        <v>36</v>
      </c>
      <c r="AA13" s="158">
        <v>28</v>
      </c>
      <c r="AB13" s="158"/>
      <c r="AC13" s="158"/>
      <c r="AD13" s="158"/>
      <c r="AE13" s="158"/>
      <c r="AF13" s="158"/>
      <c r="AG13" s="159"/>
      <c r="AH13" s="13">
        <f t="shared" si="6"/>
        <v>146</v>
      </c>
      <c r="AI13" s="11">
        <f t="shared" si="7"/>
        <v>5</v>
      </c>
      <c r="AJ13" s="12">
        <f t="shared" si="8"/>
        <v>29.2</v>
      </c>
      <c r="AK13" s="74"/>
      <c r="AL13" s="119">
        <f t="shared" si="9"/>
        <v>363</v>
      </c>
      <c r="AM13" s="91">
        <f t="shared" si="10"/>
        <v>13</v>
      </c>
      <c r="AN13" s="91">
        <f t="shared" si="11"/>
        <v>27.923076923076923</v>
      </c>
      <c r="AO13" s="244">
        <f t="shared" si="12"/>
        <v>96.286472148541108</v>
      </c>
      <c r="AP13" s="248">
        <f t="shared" si="13"/>
        <v>96.286472148541108</v>
      </c>
    </row>
    <row r="14" spans="1:48" s="10" customFormat="1" ht="20.100000000000001" customHeight="1">
      <c r="A14" s="26" t="s">
        <v>335</v>
      </c>
      <c r="B14" s="126">
        <v>27</v>
      </c>
      <c r="C14" s="157">
        <v>34</v>
      </c>
      <c r="D14" s="158"/>
      <c r="E14" s="158"/>
      <c r="F14" s="158"/>
      <c r="G14" s="158"/>
      <c r="H14" s="158"/>
      <c r="I14" s="158">
        <v>32</v>
      </c>
      <c r="J14" s="158"/>
      <c r="K14" s="158"/>
      <c r="L14" s="158"/>
      <c r="M14" s="158"/>
      <c r="N14" s="158"/>
      <c r="O14" s="159"/>
      <c r="P14" s="13">
        <f t="shared" si="2"/>
        <v>66</v>
      </c>
      <c r="Q14" s="11">
        <f t="shared" si="3"/>
        <v>2</v>
      </c>
      <c r="R14" s="91">
        <f t="shared" si="4"/>
        <v>33</v>
      </c>
      <c r="S14" s="244">
        <f t="shared" si="5"/>
        <v>122.22222222222223</v>
      </c>
      <c r="T14" s="126">
        <v>27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66</v>
      </c>
      <c r="AM14" s="91">
        <f t="shared" si="10"/>
        <v>2</v>
      </c>
      <c r="AN14" s="91">
        <f t="shared" si="11"/>
        <v>33</v>
      </c>
      <c r="AO14" s="244">
        <f t="shared" si="12"/>
        <v>122.22222222222223</v>
      </c>
      <c r="AP14" s="248" t="str">
        <f t="shared" si="13"/>
        <v>0</v>
      </c>
    </row>
    <row r="15" spans="1:48" s="10" customFormat="1" ht="20.100000000000001" customHeight="1">
      <c r="A15" s="26" t="s">
        <v>333</v>
      </c>
      <c r="B15" s="67">
        <v>30</v>
      </c>
      <c r="C15" s="157">
        <v>27</v>
      </c>
      <c r="D15" s="158"/>
      <c r="E15" s="158">
        <v>24</v>
      </c>
      <c r="F15" s="158"/>
      <c r="G15" s="158">
        <v>6</v>
      </c>
      <c r="H15" s="158">
        <v>39</v>
      </c>
      <c r="I15" s="158">
        <v>29</v>
      </c>
      <c r="J15" s="158">
        <v>39</v>
      </c>
      <c r="K15" s="158"/>
      <c r="L15" s="158"/>
      <c r="M15" s="158">
        <v>36</v>
      </c>
      <c r="N15" s="158">
        <v>29</v>
      </c>
      <c r="O15" s="159"/>
      <c r="P15" s="13">
        <f t="shared" si="2"/>
        <v>229</v>
      </c>
      <c r="Q15" s="11">
        <f t="shared" si="3"/>
        <v>8</v>
      </c>
      <c r="R15" s="91">
        <f t="shared" si="4"/>
        <v>28.625</v>
      </c>
      <c r="S15" s="244">
        <f t="shared" si="5"/>
        <v>95.416666666666671</v>
      </c>
      <c r="T15" s="67">
        <v>30</v>
      </c>
      <c r="U15" s="157">
        <v>16</v>
      </c>
      <c r="V15" s="158"/>
      <c r="W15" s="232">
        <v>50</v>
      </c>
      <c r="X15" s="158">
        <v>32</v>
      </c>
      <c r="Y15" s="158"/>
      <c r="Z15" s="158">
        <v>19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117</v>
      </c>
      <c r="AI15" s="11">
        <f t="shared" si="7"/>
        <v>4</v>
      </c>
      <c r="AJ15" s="12">
        <f t="shared" si="8"/>
        <v>29.25</v>
      </c>
      <c r="AK15" s="74"/>
      <c r="AL15" s="119">
        <f t="shared" si="9"/>
        <v>346</v>
      </c>
      <c r="AM15" s="91">
        <f t="shared" si="10"/>
        <v>12</v>
      </c>
      <c r="AN15" s="91">
        <f t="shared" si="11"/>
        <v>28.833333333333332</v>
      </c>
      <c r="AO15" s="244">
        <f t="shared" si="12"/>
        <v>96.111111111111114</v>
      </c>
      <c r="AP15" s="248">
        <f t="shared" si="13"/>
        <v>96.111111111111114</v>
      </c>
    </row>
    <row r="16" spans="1:48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7"/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10" customFormat="1" ht="20.100000000000001" customHeight="1" thickBot="1">
      <c r="A19" s="129"/>
      <c r="B19" s="172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3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152</v>
      </c>
      <c r="Z19" s="19">
        <f t="shared" si="16"/>
        <v>152</v>
      </c>
      <c r="AA19" s="19">
        <f t="shared" si="16"/>
        <v>156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1052</v>
      </c>
      <c r="AI19" s="18">
        <f t="shared" si="16"/>
        <v>42</v>
      </c>
      <c r="AJ19" s="23">
        <f>AH19/AI19</f>
        <v>25.047619047619047</v>
      </c>
      <c r="AK19" s="75"/>
      <c r="AL19" s="24">
        <f>SUM(AL4:AL18)</f>
        <v>3084</v>
      </c>
      <c r="AM19" s="18">
        <f>SUM(AM4:AM18)</f>
        <v>120</v>
      </c>
      <c r="AN19" s="18">
        <f t="shared" ref="AN19" si="17">AL19/AM19</f>
        <v>25.7</v>
      </c>
      <c r="AO19" s="20"/>
    </row>
    <row r="24" spans="1:42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60</v>
      </c>
      <c r="B2" s="350" t="s">
        <v>42</v>
      </c>
      <c r="C2" s="335" t="s">
        <v>61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62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51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5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55"/>
      <c r="AI3" s="353"/>
      <c r="AJ3" s="354"/>
      <c r="AK3" s="73"/>
      <c r="AL3" s="355"/>
      <c r="AM3" s="353"/>
      <c r="AN3" s="353"/>
      <c r="AO3" s="354"/>
    </row>
    <row r="4" spans="1:48" s="10" customFormat="1" ht="20.100000000000001" customHeight="1">
      <c r="A4" s="171" t="s">
        <v>304</v>
      </c>
      <c r="B4" s="131">
        <v>31</v>
      </c>
      <c r="C4" s="154"/>
      <c r="D4" s="155"/>
      <c r="E4" s="155"/>
      <c r="F4" s="155"/>
      <c r="G4" s="155">
        <v>9</v>
      </c>
      <c r="H4" s="155"/>
      <c r="I4" s="155">
        <v>34</v>
      </c>
      <c r="J4" s="155">
        <v>23</v>
      </c>
      <c r="K4" s="155">
        <v>38</v>
      </c>
      <c r="L4" s="155"/>
      <c r="M4" s="155">
        <v>55</v>
      </c>
      <c r="N4" s="155"/>
      <c r="O4" s="156">
        <v>36</v>
      </c>
      <c r="P4" s="9">
        <f>SUM(C4:O4)</f>
        <v>195</v>
      </c>
      <c r="Q4" s="8">
        <f>COUNTIF(C4:O4,"&gt;0")</f>
        <v>6</v>
      </c>
      <c r="R4" s="118">
        <f>IF(P4=0," ",P4/Q4)</f>
        <v>32.5</v>
      </c>
      <c r="S4" s="243">
        <f>IF(P4=0," ",P4/(Q4*B4)*100)</f>
        <v>104.83870967741935</v>
      </c>
      <c r="T4" s="67">
        <v>31</v>
      </c>
      <c r="U4" s="154">
        <v>32</v>
      </c>
      <c r="V4" s="155"/>
      <c r="W4" s="155"/>
      <c r="X4" s="155">
        <v>32</v>
      </c>
      <c r="Y4" s="155">
        <v>45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109</v>
      </c>
      <c r="AI4" s="8">
        <f>COUNTIF(U4:AG4,"&gt;0")</f>
        <v>3</v>
      </c>
      <c r="AJ4" s="90">
        <f>IF(AH4=0," ",AH4/AI4)</f>
        <v>36.333333333333336</v>
      </c>
      <c r="AK4" s="74"/>
      <c r="AL4" s="117">
        <f t="shared" ref="AL4" si="0">P4+AH4</f>
        <v>304</v>
      </c>
      <c r="AM4" s="118">
        <f t="shared" ref="AM4" si="1">Q4+AI4</f>
        <v>9</v>
      </c>
      <c r="AN4" s="118">
        <f>IF(AL4=0," ",AL4/AM4)</f>
        <v>33.777777777777779</v>
      </c>
      <c r="AO4" s="243">
        <f>IF(AL4=0," ",AL4/(AM4*T4)*100)</f>
        <v>108.96057347670252</v>
      </c>
      <c r="AP4" s="248">
        <f>IF($AM4&gt;=$AP$1,$AL4/($AM4*$T4)*100,"0")</f>
        <v>108.96057347670252</v>
      </c>
    </row>
    <row r="5" spans="1:48" s="10" customFormat="1" ht="20.100000000000001" customHeight="1">
      <c r="A5" s="26" t="s">
        <v>63</v>
      </c>
      <c r="B5" s="67">
        <v>52</v>
      </c>
      <c r="C5" s="157"/>
      <c r="D5" s="158"/>
      <c r="E5" s="158">
        <v>54</v>
      </c>
      <c r="F5" s="158">
        <v>69</v>
      </c>
      <c r="G5" s="158"/>
      <c r="H5" s="158"/>
      <c r="I5" s="158"/>
      <c r="J5" s="158"/>
      <c r="K5" s="158">
        <v>41</v>
      </c>
      <c r="L5" s="158"/>
      <c r="M5" s="158">
        <v>55</v>
      </c>
      <c r="N5" s="158"/>
      <c r="O5" s="159"/>
      <c r="P5" s="13">
        <f t="shared" ref="P5:P18" si="2">SUM(C5:O5)</f>
        <v>219</v>
      </c>
      <c r="Q5" s="11">
        <f t="shared" ref="Q5:Q18" si="3">COUNTIF(C5:O5,"&gt;0")</f>
        <v>4</v>
      </c>
      <c r="R5" s="91">
        <f t="shared" ref="R5:R18" si="4">IF(P5=0," ",P5/Q5)</f>
        <v>54.75</v>
      </c>
      <c r="S5" s="244">
        <f t="shared" ref="S5:S18" si="5">IF(P5=0," ",P5/(Q5*B5)*100)</f>
        <v>105.28846153846155</v>
      </c>
      <c r="T5" s="67">
        <v>52</v>
      </c>
      <c r="U5" s="157">
        <v>71</v>
      </c>
      <c r="V5" s="158"/>
      <c r="W5" s="158">
        <v>71</v>
      </c>
      <c r="X5" s="158"/>
      <c r="Y5" s="158"/>
      <c r="Z5" s="158"/>
      <c r="AA5" s="158">
        <v>52</v>
      </c>
      <c r="AB5" s="158"/>
      <c r="AC5" s="158"/>
      <c r="AD5" s="158"/>
      <c r="AE5" s="158"/>
      <c r="AF5" s="158"/>
      <c r="AG5" s="159"/>
      <c r="AH5" s="13">
        <f t="shared" ref="AH5:AH18" si="6">SUM(U5:AG5)</f>
        <v>194</v>
      </c>
      <c r="AI5" s="11">
        <f t="shared" ref="AI5:AI18" si="7">COUNTIF(U5:AG5,"&gt;0")</f>
        <v>3</v>
      </c>
      <c r="AJ5" s="12">
        <f t="shared" ref="AJ5:AJ18" si="8">IF(AH5=0," ",AH5/AI5)</f>
        <v>64.666666666666671</v>
      </c>
      <c r="AK5" s="74"/>
      <c r="AL5" s="119">
        <f t="shared" ref="AL5:AL18" si="9">P5+AH5</f>
        <v>413</v>
      </c>
      <c r="AM5" s="91">
        <f t="shared" ref="AM5:AM18" si="10">Q5+AI5</f>
        <v>7</v>
      </c>
      <c r="AN5" s="91">
        <f t="shared" ref="AN5:AN18" si="11">IF(AL5=0," ",AL5/AM5)</f>
        <v>59</v>
      </c>
      <c r="AO5" s="244">
        <f t="shared" ref="AO5:AO18" si="12">IF(AL5=0," ",AL5/(AM5*T5)*100)</f>
        <v>113.46153846153845</v>
      </c>
      <c r="AP5" s="248">
        <f>IF($AM5&gt;=$AP$1,$AL5/($AM5*$T5)*100,"0")</f>
        <v>113.46153846153845</v>
      </c>
    </row>
    <row r="6" spans="1:48" s="10" customFormat="1" ht="20.100000000000001" customHeight="1">
      <c r="A6" s="26" t="s">
        <v>64</v>
      </c>
      <c r="B6" s="67">
        <v>42</v>
      </c>
      <c r="C6" s="157"/>
      <c r="D6" s="158"/>
      <c r="E6" s="158">
        <v>30</v>
      </c>
      <c r="F6" s="158"/>
      <c r="G6" s="158"/>
      <c r="H6" s="158">
        <v>45</v>
      </c>
      <c r="I6" s="158"/>
      <c r="J6" s="158"/>
      <c r="K6" s="158"/>
      <c r="L6" s="158"/>
      <c r="M6" s="158">
        <v>34</v>
      </c>
      <c r="N6" s="158"/>
      <c r="O6" s="159"/>
      <c r="P6" s="13">
        <f t="shared" si="2"/>
        <v>109</v>
      </c>
      <c r="Q6" s="11">
        <f t="shared" si="3"/>
        <v>3</v>
      </c>
      <c r="R6" s="91">
        <f t="shared" si="4"/>
        <v>36.333333333333336</v>
      </c>
      <c r="S6" s="244">
        <f t="shared" si="5"/>
        <v>86.507936507936506</v>
      </c>
      <c r="T6" s="67">
        <v>42</v>
      </c>
      <c r="U6" s="157"/>
      <c r="V6" s="158"/>
      <c r="W6" s="158">
        <v>32</v>
      </c>
      <c r="X6" s="158">
        <v>39</v>
      </c>
      <c r="Y6" s="158">
        <v>38</v>
      </c>
      <c r="Z6" s="158">
        <v>30</v>
      </c>
      <c r="AA6" s="158">
        <v>45</v>
      </c>
      <c r="AB6" s="158"/>
      <c r="AC6" s="158"/>
      <c r="AD6" s="158"/>
      <c r="AE6" s="158"/>
      <c r="AF6" s="158"/>
      <c r="AG6" s="159"/>
      <c r="AH6" s="13">
        <f t="shared" si="6"/>
        <v>184</v>
      </c>
      <c r="AI6" s="11">
        <f t="shared" si="7"/>
        <v>5</v>
      </c>
      <c r="AJ6" s="12">
        <f t="shared" si="8"/>
        <v>36.799999999999997</v>
      </c>
      <c r="AK6" s="74"/>
      <c r="AL6" s="119">
        <f t="shared" si="9"/>
        <v>293</v>
      </c>
      <c r="AM6" s="91">
        <f t="shared" si="10"/>
        <v>8</v>
      </c>
      <c r="AN6" s="91">
        <f t="shared" si="11"/>
        <v>36.625</v>
      </c>
      <c r="AO6" s="244">
        <f t="shared" si="12"/>
        <v>87.202380952380949</v>
      </c>
      <c r="AP6" s="248">
        <f t="shared" ref="AP6:AP18" si="13">IF($AM6&gt;=$AP$1,$AL6/($AM6*$T6)*100,"0")</f>
        <v>87.202380952380949</v>
      </c>
    </row>
    <row r="7" spans="1:48" s="10" customFormat="1" ht="20.100000000000001" customHeight="1">
      <c r="A7" s="26" t="s">
        <v>65</v>
      </c>
      <c r="B7" s="67">
        <v>18</v>
      </c>
      <c r="C7" s="157"/>
      <c r="D7" s="158"/>
      <c r="E7" s="158"/>
      <c r="F7" s="158"/>
      <c r="G7" s="158"/>
      <c r="H7" s="158">
        <v>12</v>
      </c>
      <c r="I7" s="158"/>
      <c r="J7" s="158"/>
      <c r="K7" s="158"/>
      <c r="L7" s="158"/>
      <c r="M7" s="158"/>
      <c r="N7" s="158">
        <v>20</v>
      </c>
      <c r="O7" s="159"/>
      <c r="P7" s="13">
        <f t="shared" si="2"/>
        <v>32</v>
      </c>
      <c r="Q7" s="11">
        <f t="shared" si="3"/>
        <v>2</v>
      </c>
      <c r="R7" s="91">
        <f t="shared" si="4"/>
        <v>16</v>
      </c>
      <c r="S7" s="244">
        <f t="shared" si="5"/>
        <v>88.888888888888886</v>
      </c>
      <c r="T7" s="67">
        <v>18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32</v>
      </c>
      <c r="AM7" s="91">
        <f t="shared" si="10"/>
        <v>2</v>
      </c>
      <c r="AN7" s="91">
        <f t="shared" si="11"/>
        <v>16</v>
      </c>
      <c r="AO7" s="244">
        <f t="shared" si="12"/>
        <v>88.888888888888886</v>
      </c>
      <c r="AP7" s="248" t="str">
        <f t="shared" si="13"/>
        <v>0</v>
      </c>
    </row>
    <row r="8" spans="1:48" s="10" customFormat="1" ht="20.100000000000001" customHeight="1">
      <c r="A8" s="26" t="s">
        <v>66</v>
      </c>
      <c r="B8" s="67">
        <v>25</v>
      </c>
      <c r="C8" s="157"/>
      <c r="D8" s="158"/>
      <c r="E8" s="158"/>
      <c r="F8" s="158"/>
      <c r="G8" s="158"/>
      <c r="H8" s="158"/>
      <c r="I8" s="158">
        <v>18</v>
      </c>
      <c r="J8" s="158"/>
      <c r="K8" s="158">
        <v>32</v>
      </c>
      <c r="L8" s="158">
        <v>25</v>
      </c>
      <c r="M8" s="158"/>
      <c r="N8" s="158"/>
      <c r="O8" s="159"/>
      <c r="P8" s="13">
        <f t="shared" si="2"/>
        <v>75</v>
      </c>
      <c r="Q8" s="11">
        <f t="shared" si="3"/>
        <v>3</v>
      </c>
      <c r="R8" s="91">
        <f t="shared" si="4"/>
        <v>25</v>
      </c>
      <c r="S8" s="244">
        <f t="shared" si="5"/>
        <v>100</v>
      </c>
      <c r="T8" s="67">
        <v>25</v>
      </c>
      <c r="U8" s="157"/>
      <c r="V8" s="158">
        <v>16</v>
      </c>
      <c r="W8" s="158"/>
      <c r="X8" s="158">
        <v>40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56</v>
      </c>
      <c r="AI8" s="11">
        <f t="shared" si="7"/>
        <v>2</v>
      </c>
      <c r="AJ8" s="12">
        <f t="shared" si="8"/>
        <v>28</v>
      </c>
      <c r="AK8" s="74"/>
      <c r="AL8" s="119">
        <f t="shared" si="9"/>
        <v>131</v>
      </c>
      <c r="AM8" s="91">
        <f t="shared" si="10"/>
        <v>5</v>
      </c>
      <c r="AN8" s="91">
        <f t="shared" si="11"/>
        <v>26.2</v>
      </c>
      <c r="AO8" s="244">
        <f t="shared" si="12"/>
        <v>104.80000000000001</v>
      </c>
      <c r="AP8" s="248" t="str">
        <f t="shared" si="13"/>
        <v>0</v>
      </c>
    </row>
    <row r="9" spans="1:48" s="10" customFormat="1" ht="20.100000000000001" customHeight="1">
      <c r="A9" s="26" t="s">
        <v>67</v>
      </c>
      <c r="B9" s="67">
        <v>53</v>
      </c>
      <c r="C9" s="157">
        <v>44</v>
      </c>
      <c r="D9" s="158"/>
      <c r="E9" s="158">
        <v>63</v>
      </c>
      <c r="F9" s="158">
        <v>53</v>
      </c>
      <c r="G9" s="158">
        <v>44</v>
      </c>
      <c r="H9" s="158"/>
      <c r="I9" s="158">
        <v>53</v>
      </c>
      <c r="J9" s="158"/>
      <c r="K9" s="158"/>
      <c r="L9" s="158">
        <v>40</v>
      </c>
      <c r="M9" s="158">
        <v>59</v>
      </c>
      <c r="N9" s="158"/>
      <c r="O9" s="159"/>
      <c r="P9" s="13">
        <f t="shared" si="2"/>
        <v>356</v>
      </c>
      <c r="Q9" s="11">
        <f t="shared" si="3"/>
        <v>7</v>
      </c>
      <c r="R9" s="91">
        <f t="shared" si="4"/>
        <v>50.857142857142854</v>
      </c>
      <c r="S9" s="244">
        <f t="shared" si="5"/>
        <v>95.956873315363879</v>
      </c>
      <c r="T9" s="67">
        <v>53</v>
      </c>
      <c r="U9" s="157"/>
      <c r="V9" s="158">
        <v>13</v>
      </c>
      <c r="W9" s="158">
        <v>46</v>
      </c>
      <c r="X9" s="158"/>
      <c r="Y9" s="158">
        <v>65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124</v>
      </c>
      <c r="AI9" s="11">
        <f t="shared" si="7"/>
        <v>3</v>
      </c>
      <c r="AJ9" s="12">
        <f t="shared" si="8"/>
        <v>41.333333333333336</v>
      </c>
      <c r="AK9" s="74"/>
      <c r="AL9" s="119">
        <f t="shared" si="9"/>
        <v>480</v>
      </c>
      <c r="AM9" s="91">
        <f t="shared" si="10"/>
        <v>10</v>
      </c>
      <c r="AN9" s="91">
        <f t="shared" si="11"/>
        <v>48</v>
      </c>
      <c r="AO9" s="244">
        <f t="shared" si="12"/>
        <v>90.566037735849065</v>
      </c>
      <c r="AP9" s="248">
        <f t="shared" si="13"/>
        <v>90.566037735849065</v>
      </c>
      <c r="AV9" s="303"/>
    </row>
    <row r="10" spans="1:48" s="10" customFormat="1" ht="20.100000000000001" customHeight="1">
      <c r="A10" s="26" t="s">
        <v>68</v>
      </c>
      <c r="B10" s="67">
        <v>51</v>
      </c>
      <c r="C10" s="157"/>
      <c r="D10" s="158"/>
      <c r="E10" s="158"/>
      <c r="F10" s="158">
        <v>55</v>
      </c>
      <c r="G10" s="158">
        <v>57</v>
      </c>
      <c r="H10" s="158">
        <v>49</v>
      </c>
      <c r="I10" s="158"/>
      <c r="J10" s="158"/>
      <c r="K10" s="158">
        <v>33</v>
      </c>
      <c r="L10" s="158"/>
      <c r="M10" s="158"/>
      <c r="N10" s="158">
        <v>41</v>
      </c>
      <c r="O10" s="159">
        <v>29</v>
      </c>
      <c r="P10" s="13">
        <f t="shared" si="2"/>
        <v>264</v>
      </c>
      <c r="Q10" s="11">
        <f t="shared" si="3"/>
        <v>6</v>
      </c>
      <c r="R10" s="91">
        <f t="shared" si="4"/>
        <v>44</v>
      </c>
      <c r="S10" s="244">
        <f t="shared" si="5"/>
        <v>86.274509803921575</v>
      </c>
      <c r="T10" s="67">
        <v>51</v>
      </c>
      <c r="U10" s="157">
        <v>72</v>
      </c>
      <c r="V10" s="158">
        <v>44</v>
      </c>
      <c r="W10" s="158"/>
      <c r="X10" s="158"/>
      <c r="Y10" s="158"/>
      <c r="Z10" s="158">
        <v>40</v>
      </c>
      <c r="AA10" s="158"/>
      <c r="AB10" s="158"/>
      <c r="AC10" s="158"/>
      <c r="AD10" s="158"/>
      <c r="AE10" s="158"/>
      <c r="AF10" s="158"/>
      <c r="AG10" s="159"/>
      <c r="AH10" s="13">
        <f t="shared" si="6"/>
        <v>156</v>
      </c>
      <c r="AI10" s="11">
        <f t="shared" si="7"/>
        <v>3</v>
      </c>
      <c r="AJ10" s="12">
        <f t="shared" si="8"/>
        <v>52</v>
      </c>
      <c r="AK10" s="74"/>
      <c r="AL10" s="119">
        <f t="shared" si="9"/>
        <v>420</v>
      </c>
      <c r="AM10" s="91">
        <f t="shared" si="10"/>
        <v>9</v>
      </c>
      <c r="AN10" s="91">
        <f t="shared" si="11"/>
        <v>46.666666666666664</v>
      </c>
      <c r="AO10" s="244">
        <f t="shared" si="12"/>
        <v>91.503267973856211</v>
      </c>
      <c r="AP10" s="248">
        <f t="shared" si="13"/>
        <v>91.503267973856211</v>
      </c>
    </row>
    <row r="11" spans="1:48" s="10" customFormat="1" ht="20.100000000000001" customHeight="1">
      <c r="A11" s="26" t="s">
        <v>69</v>
      </c>
      <c r="B11" s="67">
        <v>28</v>
      </c>
      <c r="C11" s="157">
        <v>26</v>
      </c>
      <c r="D11" s="158">
        <v>20</v>
      </c>
      <c r="E11" s="158"/>
      <c r="F11" s="158"/>
      <c r="G11" s="158"/>
      <c r="H11" s="158"/>
      <c r="I11" s="158"/>
      <c r="J11" s="158">
        <v>35</v>
      </c>
      <c r="K11" s="158"/>
      <c r="L11" s="158">
        <v>13</v>
      </c>
      <c r="M11" s="158"/>
      <c r="N11" s="158"/>
      <c r="O11" s="159"/>
      <c r="P11" s="13">
        <f t="shared" si="2"/>
        <v>94</v>
      </c>
      <c r="Q11" s="11">
        <f t="shared" si="3"/>
        <v>4</v>
      </c>
      <c r="R11" s="91">
        <f t="shared" si="4"/>
        <v>23.5</v>
      </c>
      <c r="S11" s="244">
        <f t="shared" si="5"/>
        <v>83.928571428571431</v>
      </c>
      <c r="T11" s="67">
        <v>28</v>
      </c>
      <c r="U11" s="157"/>
      <c r="V11" s="158"/>
      <c r="W11" s="158">
        <v>30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4"/>
      <c r="AL11" s="119">
        <f t="shared" si="9"/>
        <v>124</v>
      </c>
      <c r="AM11" s="91">
        <f t="shared" si="10"/>
        <v>5</v>
      </c>
      <c r="AN11" s="91">
        <f t="shared" si="11"/>
        <v>24.8</v>
      </c>
      <c r="AO11" s="244">
        <f t="shared" si="12"/>
        <v>88.571428571428569</v>
      </c>
      <c r="AP11" s="248" t="str">
        <f t="shared" si="13"/>
        <v>0</v>
      </c>
    </row>
    <row r="12" spans="1:48" s="10" customFormat="1" ht="20.100000000000001" customHeight="1">
      <c r="A12" s="26" t="s">
        <v>70</v>
      </c>
      <c r="B12" s="67">
        <v>90</v>
      </c>
      <c r="C12" s="157">
        <v>78</v>
      </c>
      <c r="D12" s="158">
        <v>59</v>
      </c>
      <c r="E12" s="158"/>
      <c r="F12" s="158">
        <v>70</v>
      </c>
      <c r="G12" s="158"/>
      <c r="H12" s="158">
        <v>91</v>
      </c>
      <c r="I12" s="158">
        <v>62</v>
      </c>
      <c r="J12" s="158">
        <v>78</v>
      </c>
      <c r="K12" s="158">
        <v>60</v>
      </c>
      <c r="L12" s="158">
        <v>120</v>
      </c>
      <c r="M12" s="158"/>
      <c r="N12" s="158">
        <v>38</v>
      </c>
      <c r="O12" s="159">
        <v>76</v>
      </c>
      <c r="P12" s="13">
        <f t="shared" si="2"/>
        <v>732</v>
      </c>
      <c r="Q12" s="11">
        <f t="shared" si="3"/>
        <v>10</v>
      </c>
      <c r="R12" s="91">
        <f t="shared" si="4"/>
        <v>73.2</v>
      </c>
      <c r="S12" s="244">
        <f t="shared" si="5"/>
        <v>81.333333333333329</v>
      </c>
      <c r="T12" s="67">
        <v>90</v>
      </c>
      <c r="U12" s="157"/>
      <c r="V12" s="158">
        <v>61</v>
      </c>
      <c r="W12" s="158">
        <v>110</v>
      </c>
      <c r="X12" s="158">
        <v>69</v>
      </c>
      <c r="Y12" s="158"/>
      <c r="Z12" s="158">
        <v>107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347</v>
      </c>
      <c r="AI12" s="11">
        <f t="shared" si="7"/>
        <v>4</v>
      </c>
      <c r="AJ12" s="12">
        <f t="shared" si="8"/>
        <v>86.75</v>
      </c>
      <c r="AK12" s="74"/>
      <c r="AL12" s="119">
        <f t="shared" si="9"/>
        <v>1079</v>
      </c>
      <c r="AM12" s="91">
        <f t="shared" si="10"/>
        <v>14</v>
      </c>
      <c r="AN12" s="91">
        <f t="shared" si="11"/>
        <v>77.071428571428569</v>
      </c>
      <c r="AO12" s="244">
        <f t="shared" si="12"/>
        <v>85.634920634920633</v>
      </c>
      <c r="AP12" s="248">
        <f t="shared" si="13"/>
        <v>85.634920634920633</v>
      </c>
    </row>
    <row r="13" spans="1:48" s="10" customFormat="1" ht="20.100000000000001" customHeight="1">
      <c r="A13" s="26" t="s">
        <v>71</v>
      </c>
      <c r="B13" s="67">
        <v>26</v>
      </c>
      <c r="C13" s="157">
        <v>36</v>
      </c>
      <c r="D13" s="158"/>
      <c r="E13" s="158"/>
      <c r="F13" s="158"/>
      <c r="G13" s="158">
        <v>28</v>
      </c>
      <c r="H13" s="158">
        <v>15</v>
      </c>
      <c r="I13" s="158"/>
      <c r="J13" s="158">
        <v>36</v>
      </c>
      <c r="K13" s="158"/>
      <c r="L13" s="158">
        <v>26</v>
      </c>
      <c r="M13" s="158"/>
      <c r="N13" s="158">
        <v>23</v>
      </c>
      <c r="O13" s="159">
        <v>24</v>
      </c>
      <c r="P13" s="13">
        <f t="shared" si="2"/>
        <v>188</v>
      </c>
      <c r="Q13" s="11">
        <f t="shared" si="3"/>
        <v>7</v>
      </c>
      <c r="R13" s="91">
        <f t="shared" si="4"/>
        <v>26.857142857142858</v>
      </c>
      <c r="S13" s="244">
        <f t="shared" si="5"/>
        <v>103.29670329670331</v>
      </c>
      <c r="T13" s="67">
        <v>26</v>
      </c>
      <c r="U13" s="157"/>
      <c r="V13" s="158">
        <v>39</v>
      </c>
      <c r="W13" s="158"/>
      <c r="X13" s="158">
        <v>26</v>
      </c>
      <c r="Y13" s="158">
        <v>38</v>
      </c>
      <c r="Z13" s="158">
        <v>24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127</v>
      </c>
      <c r="AI13" s="11">
        <f t="shared" si="7"/>
        <v>4</v>
      </c>
      <c r="AJ13" s="12">
        <f t="shared" si="8"/>
        <v>31.75</v>
      </c>
      <c r="AK13" s="74"/>
      <c r="AL13" s="119">
        <f t="shared" si="9"/>
        <v>315</v>
      </c>
      <c r="AM13" s="91">
        <f t="shared" si="10"/>
        <v>11</v>
      </c>
      <c r="AN13" s="91">
        <f t="shared" si="11"/>
        <v>28.636363636363637</v>
      </c>
      <c r="AO13" s="244">
        <f t="shared" si="12"/>
        <v>110.13986013986015</v>
      </c>
      <c r="AP13" s="248">
        <f t="shared" si="13"/>
        <v>110.13986013986015</v>
      </c>
    </row>
    <row r="14" spans="1:48" s="10" customFormat="1" ht="20.100000000000001" customHeight="1">
      <c r="A14" s="66" t="s">
        <v>72</v>
      </c>
      <c r="B14" s="67">
        <v>51</v>
      </c>
      <c r="C14" s="157">
        <v>36</v>
      </c>
      <c r="D14" s="158">
        <v>40</v>
      </c>
      <c r="E14" s="158"/>
      <c r="F14" s="158">
        <v>42</v>
      </c>
      <c r="G14" s="158">
        <v>41</v>
      </c>
      <c r="H14" s="158">
        <v>47</v>
      </c>
      <c r="I14" s="158">
        <v>34</v>
      </c>
      <c r="J14" s="158"/>
      <c r="K14" s="158">
        <v>40</v>
      </c>
      <c r="L14" s="158"/>
      <c r="M14" s="158"/>
      <c r="N14" s="158">
        <v>53</v>
      </c>
      <c r="O14" s="159">
        <v>55</v>
      </c>
      <c r="P14" s="13">
        <f t="shared" si="2"/>
        <v>388</v>
      </c>
      <c r="Q14" s="11">
        <f t="shared" si="3"/>
        <v>9</v>
      </c>
      <c r="R14" s="91">
        <f t="shared" si="4"/>
        <v>43.111111111111114</v>
      </c>
      <c r="S14" s="244">
        <f t="shared" si="5"/>
        <v>84.531590413943363</v>
      </c>
      <c r="T14" s="67">
        <v>51</v>
      </c>
      <c r="U14" s="157"/>
      <c r="V14" s="158"/>
      <c r="W14" s="158"/>
      <c r="X14" s="158"/>
      <c r="Y14" s="158"/>
      <c r="Z14" s="158"/>
      <c r="AA14" s="158">
        <v>79</v>
      </c>
      <c r="AB14" s="158"/>
      <c r="AC14" s="158"/>
      <c r="AD14" s="158"/>
      <c r="AE14" s="158"/>
      <c r="AF14" s="158"/>
      <c r="AG14" s="159"/>
      <c r="AH14" s="13">
        <f t="shared" si="6"/>
        <v>79</v>
      </c>
      <c r="AI14" s="11">
        <f t="shared" si="7"/>
        <v>1</v>
      </c>
      <c r="AJ14" s="12">
        <f t="shared" si="8"/>
        <v>79</v>
      </c>
      <c r="AK14" s="74"/>
      <c r="AL14" s="119">
        <f t="shared" si="9"/>
        <v>467</v>
      </c>
      <c r="AM14" s="91">
        <f t="shared" si="10"/>
        <v>10</v>
      </c>
      <c r="AN14" s="91">
        <f t="shared" si="11"/>
        <v>46.7</v>
      </c>
      <c r="AO14" s="244">
        <f t="shared" si="12"/>
        <v>91.568627450980387</v>
      </c>
      <c r="AP14" s="248">
        <f t="shared" si="13"/>
        <v>91.568627450980387</v>
      </c>
    </row>
    <row r="15" spans="1:48" s="10" customFormat="1" ht="20.100000000000001" customHeight="1">
      <c r="A15" s="26" t="s">
        <v>73</v>
      </c>
      <c r="B15" s="67">
        <v>33</v>
      </c>
      <c r="C15" s="157">
        <v>26</v>
      </c>
      <c r="D15" s="158"/>
      <c r="E15" s="158">
        <v>15</v>
      </c>
      <c r="F15" s="158"/>
      <c r="G15" s="158">
        <v>38</v>
      </c>
      <c r="H15" s="158"/>
      <c r="I15" s="158">
        <v>36</v>
      </c>
      <c r="J15" s="158">
        <v>37</v>
      </c>
      <c r="K15" s="158"/>
      <c r="L15" s="158"/>
      <c r="M15" s="158">
        <v>38</v>
      </c>
      <c r="N15" s="158"/>
      <c r="O15" s="159"/>
      <c r="P15" s="13">
        <f t="shared" si="2"/>
        <v>190</v>
      </c>
      <c r="Q15" s="11">
        <f t="shared" si="3"/>
        <v>6</v>
      </c>
      <c r="R15" s="91">
        <f t="shared" si="4"/>
        <v>31.666666666666668</v>
      </c>
      <c r="S15" s="244">
        <f t="shared" si="5"/>
        <v>95.959595959595958</v>
      </c>
      <c r="T15" s="67">
        <v>33</v>
      </c>
      <c r="U15" s="157"/>
      <c r="V15" s="158">
        <v>30</v>
      </c>
      <c r="W15" s="158"/>
      <c r="X15" s="158">
        <v>59</v>
      </c>
      <c r="Y15" s="158">
        <v>30</v>
      </c>
      <c r="Z15" s="158">
        <v>31</v>
      </c>
      <c r="AA15" s="158">
        <v>33</v>
      </c>
      <c r="AB15" s="158"/>
      <c r="AC15" s="158"/>
      <c r="AD15" s="158"/>
      <c r="AE15" s="158"/>
      <c r="AF15" s="158"/>
      <c r="AG15" s="159"/>
      <c r="AH15" s="13">
        <f t="shared" si="6"/>
        <v>183</v>
      </c>
      <c r="AI15" s="11">
        <f t="shared" si="7"/>
        <v>5</v>
      </c>
      <c r="AJ15" s="12">
        <f t="shared" si="8"/>
        <v>36.6</v>
      </c>
      <c r="AK15" s="74"/>
      <c r="AL15" s="119">
        <f t="shared" si="9"/>
        <v>373</v>
      </c>
      <c r="AM15" s="91">
        <f t="shared" si="10"/>
        <v>11</v>
      </c>
      <c r="AN15" s="91">
        <f t="shared" si="11"/>
        <v>33.909090909090907</v>
      </c>
      <c r="AO15" s="244">
        <f t="shared" si="12"/>
        <v>102.75482093663912</v>
      </c>
      <c r="AP15" s="248">
        <f t="shared" si="13"/>
        <v>102.75482093663912</v>
      </c>
    </row>
    <row r="16" spans="1:48" s="10" customFormat="1" ht="20.100000000000001" customHeight="1">
      <c r="A16" s="234" t="s">
        <v>369</v>
      </c>
      <c r="B16" s="126">
        <v>15</v>
      </c>
      <c r="C16" s="157"/>
      <c r="D16" s="158">
        <v>16</v>
      </c>
      <c r="E16" s="158">
        <v>11</v>
      </c>
      <c r="F16" s="158"/>
      <c r="G16" s="158"/>
      <c r="H16" s="158"/>
      <c r="I16" s="158"/>
      <c r="J16" s="158"/>
      <c r="K16" s="158"/>
      <c r="L16" s="158"/>
      <c r="M16" s="158">
        <v>17</v>
      </c>
      <c r="N16" s="158"/>
      <c r="O16" s="159">
        <v>18</v>
      </c>
      <c r="P16" s="13">
        <f t="shared" si="2"/>
        <v>62</v>
      </c>
      <c r="Q16" s="11">
        <f t="shared" si="3"/>
        <v>4</v>
      </c>
      <c r="R16" s="91">
        <f t="shared" si="4"/>
        <v>15.5</v>
      </c>
      <c r="S16" s="244">
        <f t="shared" si="5"/>
        <v>103.33333333333334</v>
      </c>
      <c r="T16" s="235">
        <v>16</v>
      </c>
      <c r="U16" s="157">
        <v>19</v>
      </c>
      <c r="V16" s="158"/>
      <c r="W16" s="158">
        <v>19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100</v>
      </c>
      <c r="AM16" s="91">
        <f t="shared" si="10"/>
        <v>6</v>
      </c>
      <c r="AN16" s="91">
        <f t="shared" si="11"/>
        <v>16.666666666666668</v>
      </c>
      <c r="AO16" s="244">
        <f t="shared" si="12"/>
        <v>104.16666666666667</v>
      </c>
      <c r="AP16" s="248">
        <f t="shared" si="13"/>
        <v>104.16666666666667</v>
      </c>
    </row>
    <row r="17" spans="1:42" s="10" customFormat="1" ht="20.100000000000001" customHeight="1">
      <c r="A17" s="26" t="s">
        <v>345</v>
      </c>
      <c r="B17" s="126">
        <v>52</v>
      </c>
      <c r="C17" s="157"/>
      <c r="D17" s="158">
        <v>50</v>
      </c>
      <c r="E17" s="158">
        <v>45</v>
      </c>
      <c r="F17" s="158">
        <v>61</v>
      </c>
      <c r="G17" s="158"/>
      <c r="H17" s="158"/>
      <c r="I17" s="158"/>
      <c r="J17" s="158">
        <v>52</v>
      </c>
      <c r="K17" s="158"/>
      <c r="L17" s="158">
        <v>39</v>
      </c>
      <c r="M17" s="158"/>
      <c r="N17" s="158">
        <v>58</v>
      </c>
      <c r="O17" s="159"/>
      <c r="P17" s="13">
        <f t="shared" si="2"/>
        <v>305</v>
      </c>
      <c r="Q17" s="11">
        <f t="shared" si="3"/>
        <v>6</v>
      </c>
      <c r="R17" s="91">
        <f t="shared" si="4"/>
        <v>50.833333333333336</v>
      </c>
      <c r="S17" s="244">
        <f t="shared" si="5"/>
        <v>97.756410256410248</v>
      </c>
      <c r="T17" s="235">
        <v>51</v>
      </c>
      <c r="U17" s="157">
        <v>44</v>
      </c>
      <c r="V17" s="158"/>
      <c r="W17" s="158"/>
      <c r="X17" s="158"/>
      <c r="Y17" s="158"/>
      <c r="Z17" s="158">
        <v>41</v>
      </c>
      <c r="AA17" s="158">
        <v>26</v>
      </c>
      <c r="AB17" s="158"/>
      <c r="AC17" s="158"/>
      <c r="AD17" s="158"/>
      <c r="AE17" s="158"/>
      <c r="AF17" s="158"/>
      <c r="AG17" s="159"/>
      <c r="AH17" s="13">
        <f t="shared" si="6"/>
        <v>111</v>
      </c>
      <c r="AI17" s="11">
        <f t="shared" si="7"/>
        <v>3</v>
      </c>
      <c r="AJ17" s="12">
        <f t="shared" si="8"/>
        <v>37</v>
      </c>
      <c r="AK17" s="74"/>
      <c r="AL17" s="119">
        <f t="shared" si="9"/>
        <v>416</v>
      </c>
      <c r="AM17" s="91">
        <f t="shared" si="10"/>
        <v>9</v>
      </c>
      <c r="AN17" s="91">
        <f t="shared" si="11"/>
        <v>46.222222222222221</v>
      </c>
      <c r="AO17" s="244">
        <f t="shared" si="12"/>
        <v>90.631808278867098</v>
      </c>
      <c r="AP17" s="248">
        <f t="shared" si="13"/>
        <v>90.631808278867098</v>
      </c>
    </row>
    <row r="18" spans="1:42" s="10" customFormat="1" ht="20.100000000000001" customHeight="1" thickBot="1">
      <c r="A18" s="26" t="s">
        <v>74</v>
      </c>
      <c r="B18" s="67">
        <v>31</v>
      </c>
      <c r="C18" s="160"/>
      <c r="D18" s="161">
        <v>42</v>
      </c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42</v>
      </c>
      <c r="Q18" s="14">
        <f t="shared" si="3"/>
        <v>1</v>
      </c>
      <c r="R18" s="121">
        <f t="shared" si="4"/>
        <v>42</v>
      </c>
      <c r="S18" s="245">
        <f t="shared" si="5"/>
        <v>135.48387096774192</v>
      </c>
      <c r="T18" s="67">
        <v>31</v>
      </c>
      <c r="U18" s="160">
        <v>13</v>
      </c>
      <c r="V18" s="161"/>
      <c r="W18" s="161"/>
      <c r="X18" s="161"/>
      <c r="Y18" s="161">
        <v>27</v>
      </c>
      <c r="Z18" s="161"/>
      <c r="AA18" s="161">
        <v>39</v>
      </c>
      <c r="AB18" s="161"/>
      <c r="AC18" s="161"/>
      <c r="AD18" s="161"/>
      <c r="AE18" s="161"/>
      <c r="AF18" s="161"/>
      <c r="AG18" s="162"/>
      <c r="AH18" s="16">
        <f t="shared" si="6"/>
        <v>79</v>
      </c>
      <c r="AI18" s="14">
        <f t="shared" si="7"/>
        <v>3</v>
      </c>
      <c r="AJ18" s="15">
        <f t="shared" si="8"/>
        <v>26.333333333333332</v>
      </c>
      <c r="AK18" s="74"/>
      <c r="AL18" s="120">
        <f t="shared" si="9"/>
        <v>121</v>
      </c>
      <c r="AM18" s="121">
        <f t="shared" si="10"/>
        <v>4</v>
      </c>
      <c r="AN18" s="121">
        <f t="shared" si="11"/>
        <v>30.25</v>
      </c>
      <c r="AO18" s="245">
        <f t="shared" si="12"/>
        <v>97.58064516129032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3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243</v>
      </c>
      <c r="Z19" s="19">
        <f t="shared" si="16"/>
        <v>273</v>
      </c>
      <c r="AA19" s="19">
        <f t="shared" si="16"/>
        <v>274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1738</v>
      </c>
      <c r="AI19" s="18">
        <f t="shared" si="16"/>
        <v>42</v>
      </c>
      <c r="AJ19" s="23">
        <f t="shared" si="16"/>
        <v>605.56666666666672</v>
      </c>
      <c r="AK19" s="75"/>
      <c r="AL19" s="24">
        <f>SUM(AL4:AL18)</f>
        <v>5068</v>
      </c>
      <c r="AM19" s="18">
        <f>SUM(AM4:AM18)</f>
        <v>120</v>
      </c>
      <c r="AN19" s="18">
        <f t="shared" ref="AN19" si="18">AL19/AM19</f>
        <v>42.233333333333334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V27"/>
  <sheetViews>
    <sheetView showGridLines="0" showRowColHeaders="0" zoomScale="80" zoomScaleNormal="80" workbookViewId="0">
      <selection activeCell="A15" sqref="A15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75</v>
      </c>
      <c r="B2" s="333" t="s">
        <v>42</v>
      </c>
      <c r="C2" s="335" t="s">
        <v>76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77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34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78</v>
      </c>
      <c r="B4" s="131">
        <v>32</v>
      </c>
      <c r="C4" s="154">
        <v>18</v>
      </c>
      <c r="D4" s="155">
        <v>33</v>
      </c>
      <c r="E4" s="155"/>
      <c r="F4" s="155">
        <v>48</v>
      </c>
      <c r="G4" s="155"/>
      <c r="H4" s="155">
        <v>26</v>
      </c>
      <c r="I4" s="155"/>
      <c r="J4" s="155">
        <v>39</v>
      </c>
      <c r="K4" s="155">
        <v>52</v>
      </c>
      <c r="L4" s="155">
        <v>33</v>
      </c>
      <c r="M4" s="155">
        <v>12</v>
      </c>
      <c r="N4" s="155"/>
      <c r="O4" s="156">
        <v>31</v>
      </c>
      <c r="P4" s="9">
        <f>SUM(C4:O4)</f>
        <v>292</v>
      </c>
      <c r="Q4" s="8">
        <f>COUNTIF(C4:O4,"&gt;0")</f>
        <v>9</v>
      </c>
      <c r="R4" s="118">
        <f>IF(P4=0," ",P4/Q4)</f>
        <v>32.444444444444443</v>
      </c>
      <c r="S4" s="243">
        <f>IF(P4=0," ",P4/(Q4*B4)*100)</f>
        <v>101.38888888888889</v>
      </c>
      <c r="T4" s="68">
        <v>32</v>
      </c>
      <c r="U4" s="154">
        <v>37</v>
      </c>
      <c r="V4" s="155">
        <v>41</v>
      </c>
      <c r="W4" s="155"/>
      <c r="X4" s="155"/>
      <c r="Y4" s="155">
        <v>46</v>
      </c>
      <c r="Z4" s="155"/>
      <c r="AA4" s="155">
        <v>34</v>
      </c>
      <c r="AB4" s="155"/>
      <c r="AC4" s="155"/>
      <c r="AD4" s="155"/>
      <c r="AE4" s="155"/>
      <c r="AF4" s="155"/>
      <c r="AG4" s="156"/>
      <c r="AH4" s="9">
        <f>SUM(U4:AG4)</f>
        <v>158</v>
      </c>
      <c r="AI4" s="8">
        <f>COUNTIF(U4:AG4,"&gt;0")</f>
        <v>4</v>
      </c>
      <c r="AJ4" s="90">
        <f>IF(AH4=0," ",AH4/AI4)</f>
        <v>39.5</v>
      </c>
      <c r="AK4" s="74"/>
      <c r="AL4" s="117">
        <f t="shared" ref="AL4" si="0">P4+AH4</f>
        <v>450</v>
      </c>
      <c r="AM4" s="118">
        <f t="shared" ref="AM4" si="1">Q4+AI4</f>
        <v>13</v>
      </c>
      <c r="AN4" s="118">
        <f>IF(AL4=0," ",AL4/AM4)</f>
        <v>34.615384615384613</v>
      </c>
      <c r="AO4" s="243">
        <f>IF(AL4=0," ",AL4/(AM4*T4)*100)</f>
        <v>108.17307692307692</v>
      </c>
      <c r="AP4" s="248">
        <f>IF($AM4&gt;=$AP$1,$AL4/($AM4*$T4)*100,"0")</f>
        <v>108.17307692307692</v>
      </c>
    </row>
    <row r="5" spans="1:48" s="10" customFormat="1" ht="20.100000000000001" customHeight="1">
      <c r="A5" s="26" t="s">
        <v>79</v>
      </c>
      <c r="B5" s="67">
        <v>18</v>
      </c>
      <c r="C5" s="157">
        <v>11</v>
      </c>
      <c r="D5" s="158">
        <v>11</v>
      </c>
      <c r="E5" s="158">
        <v>6</v>
      </c>
      <c r="F5" s="158"/>
      <c r="G5" s="158">
        <v>26</v>
      </c>
      <c r="H5" s="158"/>
      <c r="I5" s="158">
        <v>17</v>
      </c>
      <c r="J5" s="158">
        <v>6</v>
      </c>
      <c r="K5" s="158">
        <v>20</v>
      </c>
      <c r="L5" s="158"/>
      <c r="M5" s="158"/>
      <c r="N5" s="158">
        <v>6</v>
      </c>
      <c r="O5" s="159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1">
        <f t="shared" ref="R5:R18" si="4">IF(P5=0," ",P5/Q5)</f>
        <v>13</v>
      </c>
      <c r="S5" s="244">
        <f t="shared" ref="S5:S18" si="5">IF(P5=0," ",P5/(Q5*B5)*100)</f>
        <v>72.222222222222214</v>
      </c>
      <c r="T5" s="67">
        <v>18</v>
      </c>
      <c r="U5" s="157">
        <v>28</v>
      </c>
      <c r="V5" s="158">
        <v>13</v>
      </c>
      <c r="W5" s="158">
        <v>11</v>
      </c>
      <c r="X5" s="158">
        <v>20</v>
      </c>
      <c r="Y5" s="158">
        <v>11</v>
      </c>
      <c r="Z5" s="158">
        <v>21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104</v>
      </c>
      <c r="AI5" s="11">
        <f t="shared" ref="AI5:AI18" si="7">COUNTIF(U5:AG5,"&gt;0")</f>
        <v>6</v>
      </c>
      <c r="AJ5" s="12">
        <f t="shared" ref="AJ5:AJ18" si="8">IF(AH5=0," ",AH5/AI5)</f>
        <v>17.333333333333332</v>
      </c>
      <c r="AK5" s="74"/>
      <c r="AL5" s="119">
        <f t="shared" ref="AL5:AL18" si="9">P5+AH5</f>
        <v>221</v>
      </c>
      <c r="AM5" s="91">
        <f t="shared" ref="AM5:AM18" si="10">Q5+AI5</f>
        <v>15</v>
      </c>
      <c r="AN5" s="91">
        <f t="shared" ref="AN5:AN18" si="11">IF(AL5=0," ",AL5/AM5)</f>
        <v>14.733333333333333</v>
      </c>
      <c r="AO5" s="244">
        <f t="shared" ref="AO5:AO18" si="12">IF(AL5=0," ",AL5/(AM5*T5)*100)</f>
        <v>81.851851851851848</v>
      </c>
      <c r="AP5" s="248">
        <f t="shared" ref="AP5:AP18" si="13">IF($AM5&gt;=$AP$1,$AL5/($AM5*$T5)*100,"0")</f>
        <v>81.851851851851848</v>
      </c>
    </row>
    <row r="6" spans="1:48" s="10" customFormat="1" ht="20.100000000000001" customHeight="1">
      <c r="A6" s="26" t="s">
        <v>80</v>
      </c>
      <c r="B6" s="67">
        <v>28</v>
      </c>
      <c r="C6" s="157"/>
      <c r="D6" s="158"/>
      <c r="E6" s="158">
        <v>27</v>
      </c>
      <c r="F6" s="158">
        <v>22</v>
      </c>
      <c r="G6" s="158"/>
      <c r="H6" s="158">
        <v>35</v>
      </c>
      <c r="I6" s="158">
        <v>35</v>
      </c>
      <c r="J6" s="158"/>
      <c r="K6" s="158">
        <v>26</v>
      </c>
      <c r="L6" s="158">
        <v>15</v>
      </c>
      <c r="M6" s="158"/>
      <c r="N6" s="158">
        <v>14</v>
      </c>
      <c r="O6" s="159"/>
      <c r="P6" s="13">
        <f t="shared" si="2"/>
        <v>174</v>
      </c>
      <c r="Q6" s="11">
        <f t="shared" si="3"/>
        <v>7</v>
      </c>
      <c r="R6" s="91">
        <f t="shared" si="4"/>
        <v>24.857142857142858</v>
      </c>
      <c r="S6" s="244">
        <f t="shared" si="5"/>
        <v>88.775510204081627</v>
      </c>
      <c r="T6" s="67">
        <v>28</v>
      </c>
      <c r="U6" s="157">
        <v>23</v>
      </c>
      <c r="V6" s="158">
        <v>25</v>
      </c>
      <c r="W6" s="158">
        <v>26</v>
      </c>
      <c r="X6" s="158">
        <v>33</v>
      </c>
      <c r="Y6" s="158">
        <v>20</v>
      </c>
      <c r="Z6" s="158">
        <v>24</v>
      </c>
      <c r="AA6" s="158">
        <v>25</v>
      </c>
      <c r="AB6" s="158"/>
      <c r="AC6" s="158"/>
      <c r="AD6" s="158"/>
      <c r="AE6" s="158"/>
      <c r="AF6" s="158"/>
      <c r="AG6" s="159"/>
      <c r="AH6" s="13">
        <f t="shared" si="6"/>
        <v>176</v>
      </c>
      <c r="AI6" s="11">
        <f t="shared" si="7"/>
        <v>7</v>
      </c>
      <c r="AJ6" s="12">
        <f t="shared" si="8"/>
        <v>25.142857142857142</v>
      </c>
      <c r="AK6" s="74"/>
      <c r="AL6" s="119">
        <f t="shared" si="9"/>
        <v>350</v>
      </c>
      <c r="AM6" s="91">
        <f t="shared" si="10"/>
        <v>14</v>
      </c>
      <c r="AN6" s="91">
        <f t="shared" si="11"/>
        <v>25</v>
      </c>
      <c r="AO6" s="244">
        <f t="shared" si="12"/>
        <v>89.285714285714292</v>
      </c>
      <c r="AP6" s="248">
        <f t="shared" si="13"/>
        <v>89.285714285714292</v>
      </c>
    </row>
    <row r="7" spans="1:48" s="10" customFormat="1" ht="20.100000000000001" customHeight="1">
      <c r="A7" s="26" t="s">
        <v>81</v>
      </c>
      <c r="B7" s="67">
        <v>15</v>
      </c>
      <c r="C7" s="157">
        <v>4</v>
      </c>
      <c r="D7" s="158"/>
      <c r="E7" s="158">
        <v>11</v>
      </c>
      <c r="F7" s="158">
        <v>13</v>
      </c>
      <c r="G7" s="158">
        <v>10</v>
      </c>
      <c r="H7" s="158">
        <v>13</v>
      </c>
      <c r="I7" s="158"/>
      <c r="J7" s="158">
        <v>7</v>
      </c>
      <c r="K7" s="158"/>
      <c r="L7" s="158">
        <v>11</v>
      </c>
      <c r="M7" s="158">
        <v>14</v>
      </c>
      <c r="N7" s="158"/>
      <c r="O7" s="159">
        <v>12</v>
      </c>
      <c r="P7" s="13">
        <f t="shared" si="2"/>
        <v>95</v>
      </c>
      <c r="Q7" s="11">
        <f t="shared" si="3"/>
        <v>9</v>
      </c>
      <c r="R7" s="91">
        <f t="shared" si="4"/>
        <v>10.555555555555555</v>
      </c>
      <c r="S7" s="244">
        <f t="shared" si="5"/>
        <v>70.370370370370367</v>
      </c>
      <c r="T7" s="67">
        <v>15</v>
      </c>
      <c r="U7" s="157"/>
      <c r="V7" s="158">
        <v>30</v>
      </c>
      <c r="W7" s="158">
        <v>8</v>
      </c>
      <c r="X7" s="158">
        <v>10</v>
      </c>
      <c r="Y7" s="158">
        <v>20</v>
      </c>
      <c r="Z7" s="158"/>
      <c r="AA7" s="158">
        <v>17</v>
      </c>
      <c r="AB7" s="158"/>
      <c r="AC7" s="158"/>
      <c r="AD7" s="158"/>
      <c r="AE7" s="158"/>
      <c r="AF7" s="158"/>
      <c r="AG7" s="159"/>
      <c r="AH7" s="13">
        <f t="shared" si="6"/>
        <v>85</v>
      </c>
      <c r="AI7" s="11">
        <f t="shared" si="7"/>
        <v>5</v>
      </c>
      <c r="AJ7" s="12">
        <f t="shared" si="8"/>
        <v>17</v>
      </c>
      <c r="AK7" s="74"/>
      <c r="AL7" s="119">
        <f t="shared" si="9"/>
        <v>180</v>
      </c>
      <c r="AM7" s="91">
        <f t="shared" si="10"/>
        <v>14</v>
      </c>
      <c r="AN7" s="91">
        <f t="shared" si="11"/>
        <v>12.857142857142858</v>
      </c>
      <c r="AO7" s="244">
        <f t="shared" si="12"/>
        <v>85.714285714285708</v>
      </c>
      <c r="AP7" s="248">
        <f t="shared" si="13"/>
        <v>85.714285714285708</v>
      </c>
    </row>
    <row r="8" spans="1:48" s="10" customFormat="1" ht="20.100000000000001" customHeight="1">
      <c r="A8" s="26" t="s">
        <v>343</v>
      </c>
      <c r="B8" s="67">
        <v>33</v>
      </c>
      <c r="C8" s="157"/>
      <c r="D8" s="158"/>
      <c r="E8" s="158"/>
      <c r="F8" s="158"/>
      <c r="G8" s="158"/>
      <c r="H8" s="158"/>
      <c r="I8" s="158">
        <v>28</v>
      </c>
      <c r="J8" s="158">
        <v>22</v>
      </c>
      <c r="K8" s="158"/>
      <c r="L8" s="158">
        <v>33</v>
      </c>
      <c r="M8" s="158"/>
      <c r="N8" s="158"/>
      <c r="O8" s="159"/>
      <c r="P8" s="13">
        <f t="shared" si="2"/>
        <v>83</v>
      </c>
      <c r="Q8" s="11">
        <f t="shared" si="3"/>
        <v>3</v>
      </c>
      <c r="R8" s="91">
        <f t="shared" si="4"/>
        <v>27.666666666666668</v>
      </c>
      <c r="S8" s="244">
        <f t="shared" si="5"/>
        <v>83.838383838383834</v>
      </c>
      <c r="T8" s="67">
        <v>33</v>
      </c>
      <c r="U8" s="157"/>
      <c r="V8" s="158"/>
      <c r="W8" s="158"/>
      <c r="X8" s="158"/>
      <c r="Y8" s="158"/>
      <c r="Z8" s="158">
        <v>44</v>
      </c>
      <c r="AA8" s="158"/>
      <c r="AB8" s="158"/>
      <c r="AC8" s="158"/>
      <c r="AD8" s="158"/>
      <c r="AE8" s="158"/>
      <c r="AF8" s="158"/>
      <c r="AG8" s="159"/>
      <c r="AH8" s="13">
        <f t="shared" si="6"/>
        <v>44</v>
      </c>
      <c r="AI8" s="11">
        <f t="shared" si="7"/>
        <v>1</v>
      </c>
      <c r="AJ8" s="12">
        <f t="shared" si="8"/>
        <v>44</v>
      </c>
      <c r="AK8" s="74"/>
      <c r="AL8" s="119">
        <f t="shared" si="9"/>
        <v>127</v>
      </c>
      <c r="AM8" s="91">
        <f t="shared" si="10"/>
        <v>4</v>
      </c>
      <c r="AN8" s="91">
        <f t="shared" si="11"/>
        <v>31.75</v>
      </c>
      <c r="AO8" s="244">
        <f t="shared" si="12"/>
        <v>96.212121212121218</v>
      </c>
      <c r="AP8" s="248" t="str">
        <f t="shared" si="13"/>
        <v>0</v>
      </c>
    </row>
    <row r="9" spans="1:48" s="10" customFormat="1" ht="20.100000000000001" customHeight="1">
      <c r="A9" s="26" t="s">
        <v>82</v>
      </c>
      <c r="B9" s="67">
        <v>125</v>
      </c>
      <c r="C9" s="157"/>
      <c r="D9" s="158">
        <v>70</v>
      </c>
      <c r="E9" s="158"/>
      <c r="F9" s="158">
        <v>91</v>
      </c>
      <c r="G9" s="158"/>
      <c r="H9" s="158"/>
      <c r="I9" s="158"/>
      <c r="J9" s="158"/>
      <c r="K9" s="158"/>
      <c r="L9" s="158">
        <v>89</v>
      </c>
      <c r="M9" s="158">
        <v>143</v>
      </c>
      <c r="N9" s="158"/>
      <c r="O9" s="159"/>
      <c r="P9" s="13">
        <f t="shared" si="2"/>
        <v>393</v>
      </c>
      <c r="Q9" s="11">
        <f t="shared" si="3"/>
        <v>4</v>
      </c>
      <c r="R9" s="91">
        <f t="shared" si="4"/>
        <v>98.25</v>
      </c>
      <c r="S9" s="244">
        <f t="shared" si="5"/>
        <v>78.600000000000009</v>
      </c>
      <c r="T9" s="67">
        <v>125</v>
      </c>
      <c r="U9" s="157">
        <v>122</v>
      </c>
      <c r="V9" s="158">
        <v>274</v>
      </c>
      <c r="W9" s="158"/>
      <c r="X9" s="158"/>
      <c r="Y9" s="158"/>
      <c r="Z9" s="158">
        <v>71</v>
      </c>
      <c r="AA9" s="158"/>
      <c r="AB9" s="158"/>
      <c r="AC9" s="158"/>
      <c r="AD9" s="158"/>
      <c r="AE9" s="158"/>
      <c r="AF9" s="158"/>
      <c r="AG9" s="159"/>
      <c r="AH9" s="13">
        <f t="shared" si="6"/>
        <v>467</v>
      </c>
      <c r="AI9" s="11">
        <f t="shared" si="7"/>
        <v>3</v>
      </c>
      <c r="AJ9" s="12">
        <f t="shared" si="8"/>
        <v>155.66666666666666</v>
      </c>
      <c r="AK9" s="74"/>
      <c r="AL9" s="119">
        <f t="shared" si="9"/>
        <v>860</v>
      </c>
      <c r="AM9" s="91">
        <f t="shared" si="10"/>
        <v>7</v>
      </c>
      <c r="AN9" s="91">
        <f t="shared" si="11"/>
        <v>122.85714285714286</v>
      </c>
      <c r="AO9" s="244">
        <f t="shared" si="12"/>
        <v>98.285714285714292</v>
      </c>
      <c r="AP9" s="248">
        <f t="shared" si="13"/>
        <v>98.285714285714292</v>
      </c>
      <c r="AV9" s="303"/>
    </row>
    <row r="10" spans="1:48" s="10" customFormat="1" ht="20.100000000000001" customHeight="1">
      <c r="A10" s="26" t="s">
        <v>283</v>
      </c>
      <c r="B10" s="67">
        <v>15</v>
      </c>
      <c r="C10" s="157"/>
      <c r="D10" s="158">
        <v>25</v>
      </c>
      <c r="E10" s="158"/>
      <c r="F10" s="158">
        <v>11</v>
      </c>
      <c r="G10" s="158"/>
      <c r="H10" s="158">
        <v>11</v>
      </c>
      <c r="I10" s="158">
        <v>5</v>
      </c>
      <c r="J10" s="158"/>
      <c r="K10" s="158">
        <v>28</v>
      </c>
      <c r="L10" s="158"/>
      <c r="M10" s="158">
        <v>12</v>
      </c>
      <c r="N10" s="158">
        <v>13</v>
      </c>
      <c r="O10" s="159"/>
      <c r="P10" s="13">
        <f t="shared" si="2"/>
        <v>105</v>
      </c>
      <c r="Q10" s="11">
        <f t="shared" si="3"/>
        <v>7</v>
      </c>
      <c r="R10" s="91">
        <f t="shared" si="4"/>
        <v>15</v>
      </c>
      <c r="S10" s="244">
        <f t="shared" si="5"/>
        <v>100</v>
      </c>
      <c r="T10" s="67">
        <v>15</v>
      </c>
      <c r="U10" s="157">
        <v>22</v>
      </c>
      <c r="V10" s="158"/>
      <c r="W10" s="158">
        <v>12</v>
      </c>
      <c r="X10" s="158"/>
      <c r="Y10" s="158"/>
      <c r="Z10" s="158"/>
      <c r="AA10" s="158">
        <v>11</v>
      </c>
      <c r="AB10" s="158"/>
      <c r="AC10" s="158"/>
      <c r="AD10" s="158"/>
      <c r="AE10" s="158"/>
      <c r="AF10" s="158"/>
      <c r="AG10" s="159"/>
      <c r="AH10" s="13">
        <f t="shared" si="6"/>
        <v>45</v>
      </c>
      <c r="AI10" s="11">
        <f t="shared" si="7"/>
        <v>3</v>
      </c>
      <c r="AJ10" s="12">
        <f t="shared" si="8"/>
        <v>15</v>
      </c>
      <c r="AK10" s="74"/>
      <c r="AL10" s="119">
        <f t="shared" si="9"/>
        <v>150</v>
      </c>
      <c r="AM10" s="91">
        <f t="shared" si="10"/>
        <v>10</v>
      </c>
      <c r="AN10" s="91">
        <f t="shared" si="11"/>
        <v>15</v>
      </c>
      <c r="AO10" s="244">
        <f t="shared" si="12"/>
        <v>100</v>
      </c>
      <c r="AP10" s="248">
        <f t="shared" si="13"/>
        <v>100</v>
      </c>
    </row>
    <row r="11" spans="1:48" s="10" customFormat="1" ht="20.100000000000001" customHeight="1">
      <c r="A11" s="26" t="s">
        <v>83</v>
      </c>
      <c r="B11" s="67">
        <v>36</v>
      </c>
      <c r="C11" s="157"/>
      <c r="D11" s="158">
        <v>23</v>
      </c>
      <c r="E11" s="158"/>
      <c r="F11" s="158">
        <v>34</v>
      </c>
      <c r="G11" s="158">
        <v>40</v>
      </c>
      <c r="H11" s="158"/>
      <c r="I11" s="158">
        <v>35</v>
      </c>
      <c r="J11" s="158"/>
      <c r="K11" s="158"/>
      <c r="L11" s="158"/>
      <c r="M11" s="158"/>
      <c r="N11" s="158"/>
      <c r="O11" s="159">
        <v>21</v>
      </c>
      <c r="P11" s="13">
        <f t="shared" si="2"/>
        <v>153</v>
      </c>
      <c r="Q11" s="11">
        <f t="shared" si="3"/>
        <v>5</v>
      </c>
      <c r="R11" s="91">
        <f t="shared" si="4"/>
        <v>30.6</v>
      </c>
      <c r="S11" s="244">
        <f t="shared" si="5"/>
        <v>85</v>
      </c>
      <c r="T11" s="67">
        <v>36</v>
      </c>
      <c r="U11" s="157"/>
      <c r="V11" s="158"/>
      <c r="W11" s="158">
        <v>24</v>
      </c>
      <c r="X11" s="158"/>
      <c r="Y11" s="158"/>
      <c r="Z11" s="158">
        <v>17</v>
      </c>
      <c r="AA11" s="158"/>
      <c r="AB11" s="158"/>
      <c r="AC11" s="158"/>
      <c r="AD11" s="158"/>
      <c r="AE11" s="158"/>
      <c r="AF11" s="158"/>
      <c r="AG11" s="159"/>
      <c r="AH11" s="13">
        <f t="shared" si="6"/>
        <v>41</v>
      </c>
      <c r="AI11" s="11">
        <f t="shared" si="7"/>
        <v>2</v>
      </c>
      <c r="AJ11" s="12">
        <f t="shared" si="8"/>
        <v>20.5</v>
      </c>
      <c r="AK11" s="74"/>
      <c r="AL11" s="119">
        <f t="shared" si="9"/>
        <v>194</v>
      </c>
      <c r="AM11" s="91">
        <f t="shared" si="10"/>
        <v>7</v>
      </c>
      <c r="AN11" s="91">
        <f t="shared" si="11"/>
        <v>27.714285714285715</v>
      </c>
      <c r="AO11" s="244">
        <f t="shared" si="12"/>
        <v>76.984126984126988</v>
      </c>
      <c r="AP11" s="248">
        <f t="shared" si="13"/>
        <v>76.984126984126988</v>
      </c>
    </row>
    <row r="12" spans="1:48" s="10" customFormat="1" ht="20.100000000000001" customHeight="1">
      <c r="A12" s="26" t="s">
        <v>84</v>
      </c>
      <c r="B12" s="67">
        <v>16</v>
      </c>
      <c r="C12" s="157">
        <v>4</v>
      </c>
      <c r="D12" s="158"/>
      <c r="E12" s="158">
        <v>7</v>
      </c>
      <c r="F12" s="158"/>
      <c r="G12" s="158">
        <v>15</v>
      </c>
      <c r="H12" s="158"/>
      <c r="I12" s="158">
        <v>9</v>
      </c>
      <c r="J12" s="158">
        <v>12</v>
      </c>
      <c r="K12" s="158"/>
      <c r="L12" s="158">
        <v>10</v>
      </c>
      <c r="M12" s="158"/>
      <c r="N12" s="158">
        <v>18</v>
      </c>
      <c r="O12" s="159"/>
      <c r="P12" s="13">
        <f t="shared" si="2"/>
        <v>75</v>
      </c>
      <c r="Q12" s="11">
        <f t="shared" si="3"/>
        <v>7</v>
      </c>
      <c r="R12" s="91">
        <f t="shared" si="4"/>
        <v>10.714285714285714</v>
      </c>
      <c r="S12" s="244">
        <f t="shared" si="5"/>
        <v>66.964285714285708</v>
      </c>
      <c r="T12" s="67">
        <v>16</v>
      </c>
      <c r="U12" s="157">
        <v>13</v>
      </c>
      <c r="V12" s="158"/>
      <c r="W12" s="158">
        <v>10</v>
      </c>
      <c r="X12" s="158">
        <v>13</v>
      </c>
      <c r="Y12" s="158"/>
      <c r="Z12" s="158">
        <v>19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55</v>
      </c>
      <c r="AI12" s="11">
        <f t="shared" si="7"/>
        <v>4</v>
      </c>
      <c r="AJ12" s="12">
        <f t="shared" si="8"/>
        <v>13.75</v>
      </c>
      <c r="AK12" s="74"/>
      <c r="AL12" s="119">
        <f t="shared" si="9"/>
        <v>130</v>
      </c>
      <c r="AM12" s="91">
        <f t="shared" si="10"/>
        <v>11</v>
      </c>
      <c r="AN12" s="91">
        <f t="shared" si="11"/>
        <v>11.818181818181818</v>
      </c>
      <c r="AO12" s="244">
        <f t="shared" si="12"/>
        <v>73.86363636363636</v>
      </c>
      <c r="AP12" s="248">
        <f t="shared" si="13"/>
        <v>73.86363636363636</v>
      </c>
    </row>
    <row r="13" spans="1:48" s="10" customFormat="1" ht="20.100000000000001" customHeight="1">
      <c r="A13" s="66" t="s">
        <v>85</v>
      </c>
      <c r="B13" s="67">
        <v>16</v>
      </c>
      <c r="C13" s="157">
        <v>13</v>
      </c>
      <c r="D13" s="158"/>
      <c r="E13" s="158">
        <v>25</v>
      </c>
      <c r="F13" s="158"/>
      <c r="G13" s="158">
        <v>16</v>
      </c>
      <c r="H13" s="158">
        <v>13</v>
      </c>
      <c r="I13" s="158"/>
      <c r="J13" s="158"/>
      <c r="K13" s="158">
        <v>20</v>
      </c>
      <c r="L13" s="158"/>
      <c r="M13" s="158">
        <v>31</v>
      </c>
      <c r="N13" s="158">
        <v>7</v>
      </c>
      <c r="O13" s="159">
        <v>18</v>
      </c>
      <c r="P13" s="13">
        <f t="shared" si="2"/>
        <v>143</v>
      </c>
      <c r="Q13" s="11">
        <f t="shared" si="3"/>
        <v>8</v>
      </c>
      <c r="R13" s="91">
        <f t="shared" si="4"/>
        <v>17.875</v>
      </c>
      <c r="S13" s="244">
        <f t="shared" si="5"/>
        <v>111.71875</v>
      </c>
      <c r="T13" s="67">
        <v>16</v>
      </c>
      <c r="U13" s="157"/>
      <c r="V13" s="158"/>
      <c r="W13" s="158"/>
      <c r="X13" s="158">
        <v>14</v>
      </c>
      <c r="Y13" s="158">
        <v>20</v>
      </c>
      <c r="Z13" s="158"/>
      <c r="AA13" s="158">
        <v>7</v>
      </c>
      <c r="AB13" s="158"/>
      <c r="AC13" s="158"/>
      <c r="AD13" s="158"/>
      <c r="AE13" s="158"/>
      <c r="AF13" s="158"/>
      <c r="AG13" s="159"/>
      <c r="AH13" s="13">
        <f t="shared" si="6"/>
        <v>41</v>
      </c>
      <c r="AI13" s="11">
        <f t="shared" si="7"/>
        <v>3</v>
      </c>
      <c r="AJ13" s="12">
        <f t="shared" si="8"/>
        <v>13.666666666666666</v>
      </c>
      <c r="AK13" s="74"/>
      <c r="AL13" s="119">
        <f t="shared" si="9"/>
        <v>184</v>
      </c>
      <c r="AM13" s="91">
        <f t="shared" si="10"/>
        <v>11</v>
      </c>
      <c r="AN13" s="91">
        <f t="shared" si="11"/>
        <v>16.727272727272727</v>
      </c>
      <c r="AO13" s="244">
        <f t="shared" si="12"/>
        <v>104.54545454545455</v>
      </c>
      <c r="AP13" s="248">
        <f t="shared" si="13"/>
        <v>104.54545454545455</v>
      </c>
    </row>
    <row r="14" spans="1:48" s="10" customFormat="1" ht="20.100000000000001" customHeight="1">
      <c r="A14" s="26" t="s">
        <v>338</v>
      </c>
      <c r="B14" s="126">
        <v>15</v>
      </c>
      <c r="C14" s="157">
        <v>22</v>
      </c>
      <c r="D14" s="158">
        <v>10</v>
      </c>
      <c r="E14" s="158">
        <v>9</v>
      </c>
      <c r="F14" s="158"/>
      <c r="G14" s="158">
        <v>10</v>
      </c>
      <c r="H14" s="158">
        <v>9</v>
      </c>
      <c r="I14" s="158"/>
      <c r="J14" s="158">
        <v>14</v>
      </c>
      <c r="K14" s="158">
        <v>13</v>
      </c>
      <c r="L14" s="158"/>
      <c r="M14" s="158">
        <v>14</v>
      </c>
      <c r="N14" s="158">
        <v>16</v>
      </c>
      <c r="O14" s="159">
        <v>13</v>
      </c>
      <c r="P14" s="13">
        <f t="shared" si="2"/>
        <v>130</v>
      </c>
      <c r="Q14" s="11">
        <f t="shared" si="3"/>
        <v>10</v>
      </c>
      <c r="R14" s="91">
        <f t="shared" si="4"/>
        <v>13</v>
      </c>
      <c r="S14" s="244">
        <f t="shared" si="5"/>
        <v>86.666666666666671</v>
      </c>
      <c r="T14" s="235">
        <v>15</v>
      </c>
      <c r="U14" s="157"/>
      <c r="V14" s="158">
        <v>9</v>
      </c>
      <c r="W14" s="158"/>
      <c r="X14" s="158">
        <v>18</v>
      </c>
      <c r="Y14" s="158">
        <v>10</v>
      </c>
      <c r="Z14" s="158"/>
      <c r="AA14" s="158">
        <v>18</v>
      </c>
      <c r="AB14" s="158"/>
      <c r="AC14" s="158"/>
      <c r="AD14" s="158"/>
      <c r="AE14" s="158"/>
      <c r="AF14" s="158"/>
      <c r="AG14" s="159"/>
      <c r="AH14" s="13">
        <f t="shared" si="6"/>
        <v>55</v>
      </c>
      <c r="AI14" s="11">
        <f t="shared" si="7"/>
        <v>4</v>
      </c>
      <c r="AJ14" s="12">
        <f t="shared" si="8"/>
        <v>13.75</v>
      </c>
      <c r="AK14" s="74"/>
      <c r="AL14" s="119">
        <f t="shared" si="9"/>
        <v>185</v>
      </c>
      <c r="AM14" s="91">
        <f t="shared" si="10"/>
        <v>14</v>
      </c>
      <c r="AN14" s="91">
        <f t="shared" si="11"/>
        <v>13.214285714285714</v>
      </c>
      <c r="AO14" s="244">
        <f t="shared" si="12"/>
        <v>88.095238095238088</v>
      </c>
      <c r="AP14" s="248">
        <f t="shared" si="13"/>
        <v>88.095238095238088</v>
      </c>
    </row>
    <row r="15" spans="1:48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 t="str">
        <f t="shared" si="5"/>
        <v xml:space="preserve"> </v>
      </c>
      <c r="T15" s="69">
        <f t="shared" ref="T15:T18" si="14">B15</f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4" t="str">
        <f t="shared" si="12"/>
        <v xml:space="preserve"> </v>
      </c>
      <c r="AP15" s="248" t="str">
        <f t="shared" si="13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9">
        <f t="shared" si="14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3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127</v>
      </c>
      <c r="Z19" s="19">
        <f t="shared" si="16"/>
        <v>196</v>
      </c>
      <c r="AA19" s="19">
        <f t="shared" si="16"/>
        <v>112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1271</v>
      </c>
      <c r="AI19" s="18">
        <f>SUM(AI4:AI18)</f>
        <v>42</v>
      </c>
      <c r="AJ19" s="23">
        <f>AH19/AI19</f>
        <v>30.261904761904763</v>
      </c>
      <c r="AK19" s="75"/>
      <c r="AL19" s="24">
        <f>SUM(AL4:AL18)</f>
        <v>3031</v>
      </c>
      <c r="AM19" s="18">
        <f>SUM(AM4:AM18)</f>
        <v>120</v>
      </c>
      <c r="AN19" s="18">
        <f t="shared" ref="AN19" si="17">AL19/AM19</f>
        <v>25.258333333333333</v>
      </c>
      <c r="AO19" s="20"/>
      <c r="AP19" s="10"/>
    </row>
    <row r="24" spans="1:42">
      <c r="A24"/>
    </row>
    <row r="27" spans="1:42">
      <c r="Q27" t="s">
        <v>370</v>
      </c>
    </row>
  </sheetData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V24"/>
  <sheetViews>
    <sheetView showGridLines="0" showRowColHeaders="0" topLeftCell="A2" zoomScale="80" zoomScaleNormal="80" workbookViewId="0">
      <selection activeCell="A12" sqref="A12"/>
    </sheetView>
  </sheetViews>
  <sheetFormatPr defaultRowHeight="14.4"/>
  <cols>
    <col min="1" max="1" width="26.77734375" style="128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86</v>
      </c>
      <c r="B2" s="333" t="s">
        <v>42</v>
      </c>
      <c r="C2" s="335" t="s">
        <v>87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88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34"/>
      <c r="C3" s="6">
        <v>1</v>
      </c>
      <c r="D3" s="2">
        <v>2</v>
      </c>
      <c r="E3" s="2">
        <v>3</v>
      </c>
      <c r="F3" s="23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334</v>
      </c>
      <c r="B4" s="131">
        <v>15</v>
      </c>
      <c r="C4" s="154">
        <v>16</v>
      </c>
      <c r="D4" s="155"/>
      <c r="E4" s="155">
        <v>6</v>
      </c>
      <c r="F4" s="155"/>
      <c r="G4" s="155">
        <v>14</v>
      </c>
      <c r="H4" s="155"/>
      <c r="I4" s="155"/>
      <c r="J4" s="155"/>
      <c r="K4" s="155">
        <v>7</v>
      </c>
      <c r="L4" s="155"/>
      <c r="M4" s="155"/>
      <c r="N4" s="155">
        <v>12</v>
      </c>
      <c r="O4" s="156">
        <v>13</v>
      </c>
      <c r="P4" s="9">
        <f>SUM(C4:O4)</f>
        <v>68</v>
      </c>
      <c r="Q4" s="8">
        <f>COUNTIF(C4:O4,"&gt;0")</f>
        <v>6</v>
      </c>
      <c r="R4" s="118">
        <f>IF(P4=0," ",P4/Q4)</f>
        <v>11.333333333333334</v>
      </c>
      <c r="S4" s="243">
        <f t="shared" ref="S4" si="0">IF(P4=0," ",P4/(Q4*T4)*100)</f>
        <v>75.555555555555557</v>
      </c>
      <c r="T4" s="67">
        <v>15</v>
      </c>
      <c r="U4" s="154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0</v>
      </c>
      <c r="AI4" s="8">
        <f>COUNTIF(U4:AG4,"&gt;0")</f>
        <v>0</v>
      </c>
      <c r="AJ4" s="90" t="str">
        <f>IF(AH4=0," ",AH4/AI4)</f>
        <v xml:space="preserve"> </v>
      </c>
      <c r="AK4" s="74"/>
      <c r="AL4" s="117">
        <f t="shared" ref="AL4" si="1">P4+AH4</f>
        <v>68</v>
      </c>
      <c r="AM4" s="118">
        <f t="shared" ref="AM4" si="2">Q4+AI4</f>
        <v>6</v>
      </c>
      <c r="AN4" s="118">
        <f>IF(AL4=0," ",AL4/AM4)</f>
        <v>11.333333333333334</v>
      </c>
      <c r="AO4" s="243">
        <f>IF(AL4=0," ",AL4/(AM4*T4)*100)</f>
        <v>75.555555555555557</v>
      </c>
      <c r="AP4" s="248">
        <f>IF($AM4&gt;=$AP$1,$AL4/($AM4*$T4)*100,"0")</f>
        <v>75.555555555555557</v>
      </c>
    </row>
    <row r="5" spans="1:48" s="10" customFormat="1" ht="20.100000000000001" customHeight="1">
      <c r="A5" s="26" t="s">
        <v>89</v>
      </c>
      <c r="B5" s="67">
        <v>38</v>
      </c>
      <c r="C5" s="157">
        <v>38</v>
      </c>
      <c r="D5" s="158">
        <v>60</v>
      </c>
      <c r="E5" s="158">
        <v>23</v>
      </c>
      <c r="F5" s="158">
        <v>39</v>
      </c>
      <c r="G5" s="158"/>
      <c r="H5" s="158"/>
      <c r="I5" s="158">
        <v>38</v>
      </c>
      <c r="J5" s="158">
        <v>42</v>
      </c>
      <c r="K5" s="158"/>
      <c r="L5" s="158">
        <v>53</v>
      </c>
      <c r="M5" s="158">
        <v>80</v>
      </c>
      <c r="N5" s="158">
        <v>38</v>
      </c>
      <c r="O5" s="159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1">
        <f t="shared" ref="R5:R18" si="5">IF(P5=0," ",P5/Q5)</f>
        <v>45.5</v>
      </c>
      <c r="S5" s="244">
        <f t="shared" ref="S5:S18" si="6">IF(P5=0," ",P5/(Q5*T5)*100)</f>
        <v>119.73684210526316</v>
      </c>
      <c r="T5" s="67">
        <v>38</v>
      </c>
      <c r="U5" s="157">
        <v>54</v>
      </c>
      <c r="V5" s="158">
        <v>80</v>
      </c>
      <c r="W5" s="158">
        <v>12</v>
      </c>
      <c r="X5" s="158">
        <v>50</v>
      </c>
      <c r="Y5" s="158">
        <v>46</v>
      </c>
      <c r="Z5" s="158"/>
      <c r="AA5" s="158">
        <v>45</v>
      </c>
      <c r="AB5" s="158"/>
      <c r="AC5" s="158"/>
      <c r="AD5" s="158"/>
      <c r="AE5" s="158"/>
      <c r="AF5" s="158"/>
      <c r="AG5" s="159"/>
      <c r="AH5" s="13">
        <f t="shared" ref="AH5:AH18" si="7">SUM(U5:AG5)</f>
        <v>287</v>
      </c>
      <c r="AI5" s="11">
        <f t="shared" ref="AI5:AI18" si="8">COUNTIF(U5:AG5,"&gt;0")</f>
        <v>6</v>
      </c>
      <c r="AJ5" s="12">
        <f t="shared" ref="AJ5:AJ18" si="9">IF(AH5=0," ",AH5/AI5)</f>
        <v>47.833333333333336</v>
      </c>
      <c r="AK5" s="74"/>
      <c r="AL5" s="119">
        <f t="shared" ref="AL5:AL18" si="10">P5+AH5</f>
        <v>742</v>
      </c>
      <c r="AM5" s="91">
        <f t="shared" ref="AM5:AM18" si="11">Q5+AI5</f>
        <v>16</v>
      </c>
      <c r="AN5" s="91">
        <f t="shared" ref="AN5:AN18" si="12">IF(AL5=0," ",AL5/AM5)</f>
        <v>46.375</v>
      </c>
      <c r="AO5" s="244">
        <f t="shared" ref="AO5:AO18" si="13">IF(AL5=0," ",AL5/(AM5*T5)*100)</f>
        <v>122.03947368421053</v>
      </c>
      <c r="AP5" s="248">
        <f t="shared" ref="AP5:AP18" si="14">IF($AM5&gt;=$AP$1,$AL5/($AM5*$T5)*100,"0")</f>
        <v>122.03947368421053</v>
      </c>
    </row>
    <row r="6" spans="1:48" s="10" customFormat="1" ht="20.100000000000001" customHeight="1">
      <c r="A6" s="66" t="s">
        <v>305</v>
      </c>
      <c r="B6" s="67">
        <v>32</v>
      </c>
      <c r="C6" s="157"/>
      <c r="D6" s="158"/>
      <c r="E6" s="158"/>
      <c r="F6" s="158">
        <v>21</v>
      </c>
      <c r="G6" s="158"/>
      <c r="H6" s="158"/>
      <c r="I6" s="158"/>
      <c r="J6" s="158"/>
      <c r="K6" s="158"/>
      <c r="L6" s="158"/>
      <c r="M6" s="158">
        <v>15</v>
      </c>
      <c r="N6" s="158"/>
      <c r="O6" s="159"/>
      <c r="P6" s="13">
        <f t="shared" si="3"/>
        <v>36</v>
      </c>
      <c r="Q6" s="11">
        <f t="shared" si="4"/>
        <v>2</v>
      </c>
      <c r="R6" s="91">
        <f t="shared" si="5"/>
        <v>18</v>
      </c>
      <c r="S6" s="244">
        <f t="shared" si="6"/>
        <v>56.25</v>
      </c>
      <c r="T6" s="67">
        <v>32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4"/>
      <c r="AL6" s="119">
        <f t="shared" si="10"/>
        <v>36</v>
      </c>
      <c r="AM6" s="91">
        <f t="shared" si="11"/>
        <v>2</v>
      </c>
      <c r="AN6" s="91">
        <f t="shared" si="12"/>
        <v>18</v>
      </c>
      <c r="AO6" s="244">
        <f t="shared" si="13"/>
        <v>56.25</v>
      </c>
      <c r="AP6" s="248" t="str">
        <f t="shared" si="14"/>
        <v>0</v>
      </c>
    </row>
    <row r="7" spans="1:48" s="10" customFormat="1" ht="20.100000000000001" customHeight="1">
      <c r="A7" s="26" t="s">
        <v>90</v>
      </c>
      <c r="B7" s="67">
        <v>34</v>
      </c>
      <c r="C7" s="157"/>
      <c r="D7" s="158">
        <v>35</v>
      </c>
      <c r="E7" s="158">
        <v>28</v>
      </c>
      <c r="F7" s="158">
        <v>35</v>
      </c>
      <c r="G7" s="158"/>
      <c r="H7" s="158">
        <v>29</v>
      </c>
      <c r="I7" s="158"/>
      <c r="J7" s="158">
        <v>39</v>
      </c>
      <c r="K7" s="158"/>
      <c r="L7" s="158">
        <v>40</v>
      </c>
      <c r="M7" s="158"/>
      <c r="N7" s="158">
        <v>25</v>
      </c>
      <c r="O7" s="159"/>
      <c r="P7" s="13">
        <f t="shared" si="3"/>
        <v>231</v>
      </c>
      <c r="Q7" s="11">
        <f t="shared" si="4"/>
        <v>7</v>
      </c>
      <c r="R7" s="91">
        <f t="shared" si="5"/>
        <v>33</v>
      </c>
      <c r="S7" s="244">
        <f t="shared" si="6"/>
        <v>97.058823529411768</v>
      </c>
      <c r="T7" s="67">
        <v>34</v>
      </c>
      <c r="U7" s="157">
        <v>30</v>
      </c>
      <c r="V7" s="158"/>
      <c r="W7" s="158">
        <v>40</v>
      </c>
      <c r="X7" s="158">
        <v>31</v>
      </c>
      <c r="Y7" s="158">
        <v>29</v>
      </c>
      <c r="Z7" s="158">
        <v>18</v>
      </c>
      <c r="AA7" s="158">
        <v>35</v>
      </c>
      <c r="AB7" s="158"/>
      <c r="AC7" s="158"/>
      <c r="AD7" s="158"/>
      <c r="AE7" s="158"/>
      <c r="AF7" s="158"/>
      <c r="AG7" s="159"/>
      <c r="AH7" s="13">
        <f t="shared" si="7"/>
        <v>183</v>
      </c>
      <c r="AI7" s="11">
        <f t="shared" si="8"/>
        <v>6</v>
      </c>
      <c r="AJ7" s="12">
        <f t="shared" si="9"/>
        <v>30.5</v>
      </c>
      <c r="AK7" s="74"/>
      <c r="AL7" s="119">
        <f t="shared" si="10"/>
        <v>414</v>
      </c>
      <c r="AM7" s="91">
        <f t="shared" si="11"/>
        <v>13</v>
      </c>
      <c r="AN7" s="91">
        <f t="shared" si="12"/>
        <v>31.846153846153847</v>
      </c>
      <c r="AO7" s="244">
        <f t="shared" si="13"/>
        <v>93.665158371040718</v>
      </c>
      <c r="AP7" s="248">
        <f t="shared" si="14"/>
        <v>93.665158371040718</v>
      </c>
    </row>
    <row r="8" spans="1:48" s="10" customFormat="1" ht="20.100000000000001" customHeight="1">
      <c r="A8" s="26" t="s">
        <v>91</v>
      </c>
      <c r="B8" s="67">
        <v>80</v>
      </c>
      <c r="C8" s="157"/>
      <c r="D8" s="158"/>
      <c r="E8" s="158">
        <v>58</v>
      </c>
      <c r="F8" s="158"/>
      <c r="G8" s="158">
        <v>68</v>
      </c>
      <c r="H8" s="158"/>
      <c r="I8" s="158">
        <v>75</v>
      </c>
      <c r="J8" s="158"/>
      <c r="K8" s="158"/>
      <c r="L8" s="158">
        <v>48</v>
      </c>
      <c r="M8" s="158">
        <v>77</v>
      </c>
      <c r="N8" s="158"/>
      <c r="O8" s="159"/>
      <c r="P8" s="13">
        <f t="shared" si="3"/>
        <v>326</v>
      </c>
      <c r="Q8" s="11">
        <f t="shared" si="4"/>
        <v>5</v>
      </c>
      <c r="R8" s="91">
        <f t="shared" si="5"/>
        <v>65.2</v>
      </c>
      <c r="S8" s="244">
        <f t="shared" si="6"/>
        <v>81.5</v>
      </c>
      <c r="T8" s="67">
        <v>80</v>
      </c>
      <c r="U8" s="157">
        <v>57</v>
      </c>
      <c r="V8" s="158">
        <v>53</v>
      </c>
      <c r="W8" s="158"/>
      <c r="X8" s="158">
        <v>48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4"/>
      <c r="AL8" s="119">
        <f t="shared" si="10"/>
        <v>484</v>
      </c>
      <c r="AM8" s="91">
        <f t="shared" si="11"/>
        <v>8</v>
      </c>
      <c r="AN8" s="91">
        <f t="shared" si="12"/>
        <v>60.5</v>
      </c>
      <c r="AO8" s="244">
        <f t="shared" si="13"/>
        <v>75.625</v>
      </c>
      <c r="AP8" s="248">
        <f t="shared" si="14"/>
        <v>75.625</v>
      </c>
    </row>
    <row r="9" spans="1:48" s="10" customFormat="1" ht="20.100000000000001" customHeight="1">
      <c r="A9" s="26" t="s">
        <v>92</v>
      </c>
      <c r="B9" s="67">
        <v>27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4" t="str">
        <f t="shared" si="6"/>
        <v xml:space="preserve"> </v>
      </c>
      <c r="T9" s="67">
        <v>27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4" t="str">
        <f t="shared" si="13"/>
        <v xml:space="preserve"> </v>
      </c>
      <c r="AP9" s="248" t="str">
        <f t="shared" si="14"/>
        <v>0</v>
      </c>
      <c r="AV9" s="303"/>
    </row>
    <row r="10" spans="1:48" s="10" customFormat="1" ht="20.100000000000001" customHeight="1">
      <c r="A10" s="26" t="s">
        <v>93</v>
      </c>
      <c r="B10" s="67">
        <v>29</v>
      </c>
      <c r="C10" s="157"/>
      <c r="D10" s="158">
        <v>38</v>
      </c>
      <c r="E10" s="158"/>
      <c r="F10" s="158"/>
      <c r="G10" s="158"/>
      <c r="H10" s="158"/>
      <c r="I10" s="158"/>
      <c r="J10" s="158">
        <v>32</v>
      </c>
      <c r="K10" s="158"/>
      <c r="L10" s="158"/>
      <c r="M10" s="158"/>
      <c r="N10" s="158"/>
      <c r="O10" s="159"/>
      <c r="P10" s="13">
        <f t="shared" si="3"/>
        <v>70</v>
      </c>
      <c r="Q10" s="11">
        <f t="shared" si="4"/>
        <v>2</v>
      </c>
      <c r="R10" s="91">
        <f t="shared" si="5"/>
        <v>35</v>
      </c>
      <c r="S10" s="244">
        <f t="shared" si="6"/>
        <v>120.68965517241379</v>
      </c>
      <c r="T10" s="67">
        <v>29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70</v>
      </c>
      <c r="AM10" s="91">
        <f t="shared" si="11"/>
        <v>2</v>
      </c>
      <c r="AN10" s="91">
        <f t="shared" si="12"/>
        <v>35</v>
      </c>
      <c r="AO10" s="244">
        <f t="shared" si="13"/>
        <v>120.68965517241379</v>
      </c>
      <c r="AP10" s="248" t="str">
        <f t="shared" si="14"/>
        <v>0</v>
      </c>
    </row>
    <row r="11" spans="1:48" s="10" customFormat="1" ht="20.100000000000001" customHeight="1">
      <c r="A11" s="26" t="s">
        <v>94</v>
      </c>
      <c r="B11" s="67">
        <v>22</v>
      </c>
      <c r="C11" s="157">
        <v>23</v>
      </c>
      <c r="D11" s="158"/>
      <c r="E11" s="158">
        <v>13</v>
      </c>
      <c r="F11" s="158"/>
      <c r="G11" s="158">
        <v>18</v>
      </c>
      <c r="H11" s="158"/>
      <c r="I11" s="158">
        <v>37</v>
      </c>
      <c r="J11" s="158">
        <v>34</v>
      </c>
      <c r="K11" s="158">
        <v>35</v>
      </c>
      <c r="L11" s="158">
        <v>13</v>
      </c>
      <c r="M11" s="158">
        <v>25</v>
      </c>
      <c r="N11" s="158"/>
      <c r="O11" s="159">
        <v>28</v>
      </c>
      <c r="P11" s="13">
        <f t="shared" si="3"/>
        <v>226</v>
      </c>
      <c r="Q11" s="11">
        <f t="shared" si="4"/>
        <v>9</v>
      </c>
      <c r="R11" s="91">
        <f t="shared" si="5"/>
        <v>25.111111111111111</v>
      </c>
      <c r="S11" s="244">
        <f t="shared" si="6"/>
        <v>114.14141414141415</v>
      </c>
      <c r="T11" s="67">
        <v>22</v>
      </c>
      <c r="U11" s="157">
        <v>25</v>
      </c>
      <c r="V11" s="158">
        <v>18</v>
      </c>
      <c r="W11" s="158">
        <v>17</v>
      </c>
      <c r="X11" s="158">
        <v>25</v>
      </c>
      <c r="Y11" s="158"/>
      <c r="Z11" s="158">
        <v>27</v>
      </c>
      <c r="AA11" s="158">
        <v>11</v>
      </c>
      <c r="AB11" s="158"/>
      <c r="AC11" s="158"/>
      <c r="AD11" s="158"/>
      <c r="AE11" s="158"/>
      <c r="AF11" s="158"/>
      <c r="AG11" s="159"/>
      <c r="AH11" s="13">
        <f t="shared" si="7"/>
        <v>123</v>
      </c>
      <c r="AI11" s="11">
        <f t="shared" si="8"/>
        <v>6</v>
      </c>
      <c r="AJ11" s="12">
        <f t="shared" si="9"/>
        <v>20.5</v>
      </c>
      <c r="AK11" s="74"/>
      <c r="AL11" s="119">
        <f t="shared" si="10"/>
        <v>349</v>
      </c>
      <c r="AM11" s="91">
        <f t="shared" si="11"/>
        <v>15</v>
      </c>
      <c r="AN11" s="91">
        <f t="shared" si="12"/>
        <v>23.266666666666666</v>
      </c>
      <c r="AO11" s="244">
        <f t="shared" si="13"/>
        <v>105.75757575757576</v>
      </c>
      <c r="AP11" s="248">
        <f t="shared" si="14"/>
        <v>105.75757575757576</v>
      </c>
    </row>
    <row r="12" spans="1:48" s="10" customFormat="1" ht="20.100000000000001" customHeight="1">
      <c r="A12" s="26" t="s">
        <v>368</v>
      </c>
      <c r="B12" s="126">
        <v>22</v>
      </c>
      <c r="C12" s="157">
        <v>20</v>
      </c>
      <c r="D12" s="158"/>
      <c r="E12" s="158"/>
      <c r="F12" s="158"/>
      <c r="G12" s="158"/>
      <c r="H12" s="158">
        <v>24</v>
      </c>
      <c r="I12" s="158"/>
      <c r="J12" s="158"/>
      <c r="K12" s="158">
        <v>23</v>
      </c>
      <c r="L12" s="158"/>
      <c r="M12" s="158">
        <v>25</v>
      </c>
      <c r="N12" s="158"/>
      <c r="O12" s="159"/>
      <c r="P12" s="13">
        <f t="shared" si="3"/>
        <v>92</v>
      </c>
      <c r="Q12" s="11">
        <f t="shared" si="4"/>
        <v>4</v>
      </c>
      <c r="R12" s="91">
        <f t="shared" si="5"/>
        <v>23</v>
      </c>
      <c r="S12" s="244">
        <f t="shared" si="6"/>
        <v>100</v>
      </c>
      <c r="T12" s="235">
        <v>23</v>
      </c>
      <c r="U12" s="157"/>
      <c r="V12" s="158">
        <v>34</v>
      </c>
      <c r="W12" s="158"/>
      <c r="X12" s="158">
        <v>12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4"/>
      <c r="AL12" s="119">
        <f t="shared" si="10"/>
        <v>138</v>
      </c>
      <c r="AM12" s="91">
        <f t="shared" si="11"/>
        <v>6</v>
      </c>
      <c r="AN12" s="91">
        <f t="shared" si="12"/>
        <v>23</v>
      </c>
      <c r="AO12" s="244">
        <f t="shared" si="13"/>
        <v>100</v>
      </c>
      <c r="AP12" s="248">
        <f t="shared" si="14"/>
        <v>100</v>
      </c>
    </row>
    <row r="13" spans="1:48" s="10" customFormat="1" ht="20.100000000000001" customHeight="1">
      <c r="A13" s="26" t="s">
        <v>95</v>
      </c>
      <c r="B13" s="67">
        <v>33</v>
      </c>
      <c r="C13" s="157">
        <v>25</v>
      </c>
      <c r="D13" s="158"/>
      <c r="E13" s="158">
        <v>35</v>
      </c>
      <c r="F13" s="158"/>
      <c r="G13" s="158">
        <v>29</v>
      </c>
      <c r="H13" s="158">
        <v>66</v>
      </c>
      <c r="I13" s="158">
        <v>37</v>
      </c>
      <c r="J13" s="158"/>
      <c r="K13" s="158">
        <v>39</v>
      </c>
      <c r="L13" s="158"/>
      <c r="M13" s="158"/>
      <c r="N13" s="158">
        <v>37</v>
      </c>
      <c r="O13" s="159">
        <v>44</v>
      </c>
      <c r="P13" s="13">
        <f t="shared" si="3"/>
        <v>312</v>
      </c>
      <c r="Q13" s="11">
        <f t="shared" si="4"/>
        <v>8</v>
      </c>
      <c r="R13" s="91">
        <f t="shared" si="5"/>
        <v>39</v>
      </c>
      <c r="S13" s="244">
        <f t="shared" si="6"/>
        <v>118.18181818181819</v>
      </c>
      <c r="T13" s="67">
        <v>33</v>
      </c>
      <c r="U13" s="157">
        <v>35</v>
      </c>
      <c r="V13" s="158">
        <v>40</v>
      </c>
      <c r="W13" s="158"/>
      <c r="X13" s="158">
        <v>42</v>
      </c>
      <c r="Y13" s="158">
        <v>52</v>
      </c>
      <c r="Z13" s="158">
        <v>49</v>
      </c>
      <c r="AA13" s="158"/>
      <c r="AB13" s="158"/>
      <c r="AC13" s="158"/>
      <c r="AD13" s="158"/>
      <c r="AE13" s="158"/>
      <c r="AF13" s="158"/>
      <c r="AG13" s="159"/>
      <c r="AH13" s="13">
        <f t="shared" si="7"/>
        <v>218</v>
      </c>
      <c r="AI13" s="11">
        <f t="shared" si="8"/>
        <v>5</v>
      </c>
      <c r="AJ13" s="12">
        <f t="shared" si="9"/>
        <v>43.6</v>
      </c>
      <c r="AK13" s="74"/>
      <c r="AL13" s="119">
        <f t="shared" si="10"/>
        <v>530</v>
      </c>
      <c r="AM13" s="91">
        <f t="shared" si="11"/>
        <v>13</v>
      </c>
      <c r="AN13" s="91">
        <f t="shared" si="12"/>
        <v>40.769230769230766</v>
      </c>
      <c r="AO13" s="244">
        <f t="shared" si="13"/>
        <v>123.54312354312353</v>
      </c>
      <c r="AP13" s="248">
        <f t="shared" si="14"/>
        <v>123.54312354312353</v>
      </c>
    </row>
    <row r="14" spans="1:48" s="10" customFormat="1" ht="20.100000000000001" customHeight="1">
      <c r="A14" s="26" t="s">
        <v>315</v>
      </c>
      <c r="B14" s="67">
        <v>39</v>
      </c>
      <c r="C14" s="157">
        <v>27</v>
      </c>
      <c r="D14" s="158">
        <v>44</v>
      </c>
      <c r="E14" s="158"/>
      <c r="F14" s="158">
        <v>27</v>
      </c>
      <c r="G14" s="158"/>
      <c r="H14" s="158">
        <v>43</v>
      </c>
      <c r="I14" s="158">
        <v>37</v>
      </c>
      <c r="J14" s="158">
        <v>29</v>
      </c>
      <c r="K14" s="158"/>
      <c r="L14" s="158">
        <v>23</v>
      </c>
      <c r="M14" s="158"/>
      <c r="N14" s="158">
        <v>56</v>
      </c>
      <c r="O14" s="159">
        <v>37</v>
      </c>
      <c r="P14" s="13">
        <f t="shared" si="3"/>
        <v>323</v>
      </c>
      <c r="Q14" s="11">
        <f t="shared" si="4"/>
        <v>9</v>
      </c>
      <c r="R14" s="91">
        <f t="shared" si="5"/>
        <v>35.888888888888886</v>
      </c>
      <c r="S14" s="244">
        <f t="shared" si="6"/>
        <v>92.022792022792018</v>
      </c>
      <c r="T14" s="67">
        <v>39</v>
      </c>
      <c r="U14" s="157"/>
      <c r="V14" s="158">
        <v>28</v>
      </c>
      <c r="W14" s="158">
        <v>28</v>
      </c>
      <c r="X14" s="158"/>
      <c r="Y14" s="158">
        <v>37</v>
      </c>
      <c r="Z14" s="158">
        <v>41</v>
      </c>
      <c r="AA14" s="158">
        <v>29</v>
      </c>
      <c r="AB14" s="158"/>
      <c r="AC14" s="158"/>
      <c r="AD14" s="158"/>
      <c r="AE14" s="158"/>
      <c r="AF14" s="158"/>
      <c r="AG14" s="159"/>
      <c r="AH14" s="13">
        <f t="shared" si="7"/>
        <v>163</v>
      </c>
      <c r="AI14" s="11">
        <f t="shared" si="8"/>
        <v>5</v>
      </c>
      <c r="AJ14" s="12">
        <f t="shared" si="9"/>
        <v>32.6</v>
      </c>
      <c r="AK14" s="74"/>
      <c r="AL14" s="119">
        <f t="shared" si="10"/>
        <v>486</v>
      </c>
      <c r="AM14" s="91">
        <f t="shared" si="11"/>
        <v>14</v>
      </c>
      <c r="AN14" s="91">
        <f t="shared" si="12"/>
        <v>34.714285714285715</v>
      </c>
      <c r="AO14" s="244">
        <f t="shared" si="13"/>
        <v>89.010989010989007</v>
      </c>
      <c r="AP14" s="248">
        <f t="shared" si="14"/>
        <v>89.010989010989007</v>
      </c>
    </row>
    <row r="15" spans="1:48" s="10" customFormat="1" ht="20.100000000000001" customHeight="1">
      <c r="A15" s="26" t="s">
        <v>96</v>
      </c>
      <c r="B15" s="67">
        <v>59</v>
      </c>
      <c r="C15" s="157"/>
      <c r="D15" s="158">
        <v>60</v>
      </c>
      <c r="E15" s="158"/>
      <c r="F15" s="158">
        <v>66</v>
      </c>
      <c r="G15" s="158">
        <v>52</v>
      </c>
      <c r="H15" s="158">
        <v>62</v>
      </c>
      <c r="I15" s="158"/>
      <c r="J15" s="158"/>
      <c r="K15" s="158">
        <v>83</v>
      </c>
      <c r="L15" s="158">
        <v>51</v>
      </c>
      <c r="M15" s="158"/>
      <c r="N15" s="158"/>
      <c r="O15" s="159"/>
      <c r="P15" s="13">
        <f t="shared" ref="P15:P17" si="15">SUM(C15:O15)</f>
        <v>374</v>
      </c>
      <c r="Q15" s="11">
        <f t="shared" ref="Q15:Q17" si="16">COUNTIF(C15:O15,"&gt;0")</f>
        <v>6</v>
      </c>
      <c r="R15" s="91">
        <f t="shared" ref="R15:R17" si="17">IF(P15=0," ",P15/Q15)</f>
        <v>62.333333333333336</v>
      </c>
      <c r="S15" s="244">
        <f t="shared" ref="S15:S17" si="18">IF(P15=0," ",P15/(Q15*T15)*100)</f>
        <v>105.64971751412429</v>
      </c>
      <c r="T15" s="67">
        <v>59</v>
      </c>
      <c r="U15" s="157">
        <v>52</v>
      </c>
      <c r="V15" s="158"/>
      <c r="W15" s="158">
        <v>59</v>
      </c>
      <c r="X15" s="158"/>
      <c r="Y15" s="158">
        <v>43</v>
      </c>
      <c r="Z15" s="158">
        <v>51</v>
      </c>
      <c r="AA15" s="158">
        <v>32</v>
      </c>
      <c r="AB15" s="158"/>
      <c r="AC15" s="158"/>
      <c r="AD15" s="158"/>
      <c r="AE15" s="158"/>
      <c r="AF15" s="158"/>
      <c r="AG15" s="159"/>
      <c r="AH15" s="13">
        <f t="shared" si="7"/>
        <v>237</v>
      </c>
      <c r="AI15" s="11">
        <f t="shared" si="8"/>
        <v>5</v>
      </c>
      <c r="AJ15" s="12">
        <f t="shared" si="9"/>
        <v>47.4</v>
      </c>
      <c r="AK15" s="74"/>
      <c r="AL15" s="119">
        <f t="shared" si="10"/>
        <v>611</v>
      </c>
      <c r="AM15" s="91">
        <f t="shared" si="11"/>
        <v>11</v>
      </c>
      <c r="AN15" s="91">
        <f t="shared" si="12"/>
        <v>55.545454545454547</v>
      </c>
      <c r="AO15" s="244">
        <f t="shared" si="13"/>
        <v>94.144838212634824</v>
      </c>
      <c r="AP15" s="248">
        <f t="shared" si="14"/>
        <v>94.144838212634824</v>
      </c>
    </row>
    <row r="16" spans="1:48" s="10" customFormat="1" ht="20.100000000000001" customHeight="1">
      <c r="A16" s="26" t="s">
        <v>354</v>
      </c>
      <c r="B16" s="67">
        <v>32</v>
      </c>
      <c r="C16" s="157"/>
      <c r="D16" s="158">
        <v>40</v>
      </c>
      <c r="E16" s="158"/>
      <c r="F16" s="158">
        <v>23</v>
      </c>
      <c r="G16" s="158">
        <v>39</v>
      </c>
      <c r="H16" s="158">
        <v>36</v>
      </c>
      <c r="I16" s="158">
        <v>29</v>
      </c>
      <c r="J16" s="158">
        <v>38</v>
      </c>
      <c r="K16" s="158">
        <v>29</v>
      </c>
      <c r="L16" s="158"/>
      <c r="M16" s="158">
        <v>33</v>
      </c>
      <c r="N16" s="158">
        <v>18</v>
      </c>
      <c r="O16" s="159">
        <v>32</v>
      </c>
      <c r="P16" s="13">
        <f t="shared" si="15"/>
        <v>317</v>
      </c>
      <c r="Q16" s="11">
        <f t="shared" si="16"/>
        <v>10</v>
      </c>
      <c r="R16" s="91">
        <f t="shared" si="17"/>
        <v>31.7</v>
      </c>
      <c r="S16" s="244">
        <f t="shared" si="18"/>
        <v>99.0625</v>
      </c>
      <c r="T16" s="67">
        <v>32</v>
      </c>
      <c r="U16" s="157"/>
      <c r="V16" s="158"/>
      <c r="W16" s="158">
        <v>15</v>
      </c>
      <c r="X16" s="158"/>
      <c r="Y16" s="158">
        <v>29</v>
      </c>
      <c r="Z16" s="158">
        <v>26</v>
      </c>
      <c r="AA16" s="158">
        <v>34</v>
      </c>
      <c r="AB16" s="158"/>
      <c r="AC16" s="158"/>
      <c r="AD16" s="158"/>
      <c r="AE16" s="158"/>
      <c r="AF16" s="158"/>
      <c r="AG16" s="159"/>
      <c r="AH16" s="13">
        <f t="shared" si="7"/>
        <v>104</v>
      </c>
      <c r="AI16" s="11">
        <f t="shared" si="8"/>
        <v>4</v>
      </c>
      <c r="AJ16" s="12">
        <f t="shared" si="9"/>
        <v>26</v>
      </c>
      <c r="AK16" s="74"/>
      <c r="AL16" s="119">
        <f t="shared" si="10"/>
        <v>421</v>
      </c>
      <c r="AM16" s="91">
        <f t="shared" si="11"/>
        <v>14</v>
      </c>
      <c r="AN16" s="91">
        <f t="shared" si="12"/>
        <v>30.071428571428573</v>
      </c>
      <c r="AO16" s="244">
        <f t="shared" si="13"/>
        <v>93.973214285714292</v>
      </c>
      <c r="AP16" s="248">
        <f t="shared" si="14"/>
        <v>93.973214285714292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5"/>
        <v>0</v>
      </c>
      <c r="Q17" s="11">
        <f t="shared" si="16"/>
        <v>0</v>
      </c>
      <c r="R17" s="91" t="str">
        <f t="shared" si="17"/>
        <v xml:space="preserve"> </v>
      </c>
      <c r="S17" s="244" t="str">
        <f t="shared" si="18"/>
        <v xml:space="preserve"> </v>
      </c>
      <c r="T17" s="67"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ref="T18" si="19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29"/>
      <c r="B19" s="174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3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236</v>
      </c>
      <c r="Z19" s="19">
        <f t="shared" si="21"/>
        <v>212</v>
      </c>
      <c r="AA19" s="19">
        <f t="shared" si="21"/>
        <v>186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1519</v>
      </c>
      <c r="AI19" s="18">
        <f>SUM(V4:V18)</f>
        <v>253</v>
      </c>
      <c r="AJ19" s="23">
        <f>AH19/AH19</f>
        <v>1</v>
      </c>
      <c r="AK19" s="75"/>
      <c r="AL19" s="24">
        <f>SUM(AL4:AL18)</f>
        <v>4349</v>
      </c>
      <c r="AM19" s="18">
        <f>SUM(AM4:AM18)</f>
        <v>120</v>
      </c>
      <c r="AN19" s="18">
        <f t="shared" ref="AN19" si="22">AL19/AM19</f>
        <v>36.241666666666667</v>
      </c>
      <c r="AO19" s="20"/>
      <c r="AP19" s="10"/>
    </row>
    <row r="24" spans="1:42">
      <c r="A24"/>
    </row>
  </sheetData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V24"/>
  <sheetViews>
    <sheetView showGridLines="0" showRowColHeaders="0" zoomScale="80" zoomScaleNormal="80" workbookViewId="0">
      <selection activeCell="A18" sqref="A18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97</v>
      </c>
      <c r="B2" s="333" t="s">
        <v>42</v>
      </c>
      <c r="C2" s="335" t="s">
        <v>98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99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100</v>
      </c>
      <c r="B4" s="131">
        <v>20</v>
      </c>
      <c r="C4" s="154"/>
      <c r="D4" s="155">
        <v>21</v>
      </c>
      <c r="E4" s="155">
        <v>26</v>
      </c>
      <c r="F4" s="155">
        <v>46</v>
      </c>
      <c r="G4" s="155"/>
      <c r="H4" s="155"/>
      <c r="I4" s="155">
        <v>31</v>
      </c>
      <c r="J4" s="155">
        <v>22</v>
      </c>
      <c r="K4" s="155">
        <v>18</v>
      </c>
      <c r="L4" s="155"/>
      <c r="M4" s="155"/>
      <c r="N4" s="155"/>
      <c r="O4" s="156"/>
      <c r="P4" s="9">
        <f>SUM(C4:O4)</f>
        <v>164</v>
      </c>
      <c r="Q4" s="8">
        <f>COUNTIF(C4:O4,"&gt;0")</f>
        <v>6</v>
      </c>
      <c r="R4" s="118">
        <f>IF(P4=0," ",P4/Q4)</f>
        <v>27.333333333333332</v>
      </c>
      <c r="S4" s="243">
        <f>IF(P4=0," ",P4/(Q4*B4)*100)</f>
        <v>136.66666666666666</v>
      </c>
      <c r="T4" s="67">
        <v>20</v>
      </c>
      <c r="U4" s="154"/>
      <c r="V4" s="155"/>
      <c r="W4" s="155"/>
      <c r="X4" s="155"/>
      <c r="Y4" s="155">
        <v>24</v>
      </c>
      <c r="Z4" s="155">
        <v>17</v>
      </c>
      <c r="AA4" s="155">
        <v>17</v>
      </c>
      <c r="AB4" s="155"/>
      <c r="AC4" s="155"/>
      <c r="AD4" s="155"/>
      <c r="AE4" s="155"/>
      <c r="AF4" s="155"/>
      <c r="AG4" s="156"/>
      <c r="AH4" s="9">
        <f>SUM(U4:AG4)</f>
        <v>58</v>
      </c>
      <c r="AI4" s="8">
        <f>COUNTIF(U4:AG4,"&gt;0")</f>
        <v>3</v>
      </c>
      <c r="AJ4" s="90">
        <f>IF(AH4=0," ",AH4/AI4)</f>
        <v>19.333333333333332</v>
      </c>
      <c r="AK4" s="74"/>
      <c r="AL4" s="117">
        <f t="shared" ref="AL4" si="0">P4+AH4</f>
        <v>222</v>
      </c>
      <c r="AM4" s="118">
        <f t="shared" ref="AM4" si="1">Q4+AI4</f>
        <v>9</v>
      </c>
      <c r="AN4" s="118">
        <f>IF(AL4=0," ",AL4/AM4)</f>
        <v>24.666666666666668</v>
      </c>
      <c r="AO4" s="243">
        <f>IF(AL4=0," ",AL4/(AM4*T4)*100)</f>
        <v>123.33333333333334</v>
      </c>
      <c r="AP4" s="248">
        <f>IF($AM4&gt;=$AP$1,$AL4/($AM4*$T4)*100,"0")</f>
        <v>123.33333333333334</v>
      </c>
    </row>
    <row r="5" spans="1:48" s="10" customFormat="1" ht="20.100000000000001" customHeight="1">
      <c r="A5" s="26" t="s">
        <v>101</v>
      </c>
      <c r="B5" s="67">
        <v>41</v>
      </c>
      <c r="C5" s="157"/>
      <c r="D5" s="158">
        <v>43</v>
      </c>
      <c r="E5" s="158"/>
      <c r="F5" s="158"/>
      <c r="G5" s="158">
        <v>42</v>
      </c>
      <c r="H5" s="158">
        <v>41</v>
      </c>
      <c r="I5" s="158"/>
      <c r="J5" s="158"/>
      <c r="K5" s="158"/>
      <c r="L5" s="158"/>
      <c r="M5" s="158">
        <v>33</v>
      </c>
      <c r="N5" s="158">
        <v>34</v>
      </c>
      <c r="O5" s="159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1">
        <f t="shared" ref="R5:R18" si="4">IF(P5=0," ",P5/Q5)</f>
        <v>37.5</v>
      </c>
      <c r="S5" s="244">
        <f t="shared" ref="S5:S18" si="5">IF(P5=0," ",P5/(Q5*B5)*100)</f>
        <v>91.463414634146346</v>
      </c>
      <c r="T5" s="67">
        <v>41</v>
      </c>
      <c r="U5" s="157"/>
      <c r="V5" s="158">
        <v>34</v>
      </c>
      <c r="W5" s="158">
        <v>27</v>
      </c>
      <c r="X5" s="158"/>
      <c r="Y5" s="158"/>
      <c r="Z5" s="158"/>
      <c r="AA5" s="158">
        <v>31</v>
      </c>
      <c r="AB5" s="158"/>
      <c r="AC5" s="158"/>
      <c r="AD5" s="158"/>
      <c r="AE5" s="158"/>
      <c r="AF5" s="158"/>
      <c r="AG5" s="159"/>
      <c r="AH5" s="13">
        <f t="shared" ref="AH5:AH18" si="6">SUM(U5:AG5)</f>
        <v>92</v>
      </c>
      <c r="AI5" s="11">
        <f t="shared" ref="AI5:AI18" si="7">COUNTIF(U5:AG5,"&gt;0")</f>
        <v>3</v>
      </c>
      <c r="AJ5" s="12">
        <f t="shared" ref="AJ5:AJ18" si="8">IF(AH5=0," ",AH5/AI5)</f>
        <v>30.666666666666668</v>
      </c>
      <c r="AK5" s="74"/>
      <c r="AL5" s="119">
        <f t="shared" ref="AL5:AL18" si="9">P5+AH5</f>
        <v>317</v>
      </c>
      <c r="AM5" s="91">
        <f t="shared" ref="AM5:AM18" si="10">Q5+AI5</f>
        <v>9</v>
      </c>
      <c r="AN5" s="91">
        <f t="shared" ref="AN5:AN18" si="11">IF(AL5=0," ",AL5/AM5)</f>
        <v>35.222222222222221</v>
      </c>
      <c r="AO5" s="244">
        <f t="shared" ref="AO5:AO18" si="12">IF(AL5=0," ",AL5/(AM5*T5)*100)</f>
        <v>85.907859078590789</v>
      </c>
      <c r="AP5" s="248">
        <f t="shared" ref="AP5:AP18" si="13">IF($AM5&gt;=$AP$1,$AL5/($AM5*$T5)*100,"0")</f>
        <v>85.907859078590789</v>
      </c>
    </row>
    <row r="6" spans="1:48" s="10" customFormat="1" ht="20.100000000000001" customHeight="1">
      <c r="A6" s="26" t="s">
        <v>102</v>
      </c>
      <c r="B6" s="67">
        <v>38</v>
      </c>
      <c r="C6" s="157"/>
      <c r="D6" s="158"/>
      <c r="E6" s="158"/>
      <c r="F6" s="158">
        <v>39</v>
      </c>
      <c r="G6" s="158"/>
      <c r="H6" s="158"/>
      <c r="I6" s="158"/>
      <c r="J6" s="158">
        <v>40</v>
      </c>
      <c r="K6" s="158">
        <v>32</v>
      </c>
      <c r="L6" s="158">
        <v>50</v>
      </c>
      <c r="M6" s="158"/>
      <c r="N6" s="158"/>
      <c r="O6" s="159">
        <v>37</v>
      </c>
      <c r="P6" s="13">
        <f t="shared" si="2"/>
        <v>198</v>
      </c>
      <c r="Q6" s="11">
        <f t="shared" si="3"/>
        <v>5</v>
      </c>
      <c r="R6" s="91">
        <f t="shared" si="4"/>
        <v>39.6</v>
      </c>
      <c r="S6" s="244">
        <f t="shared" si="5"/>
        <v>104.21052631578947</v>
      </c>
      <c r="T6" s="67">
        <v>38</v>
      </c>
      <c r="U6" s="157"/>
      <c r="V6" s="158">
        <v>47</v>
      </c>
      <c r="W6" s="158"/>
      <c r="X6" s="158"/>
      <c r="Y6" s="158"/>
      <c r="Z6" s="158"/>
      <c r="AA6" s="158">
        <v>22</v>
      </c>
      <c r="AB6" s="158"/>
      <c r="AC6" s="158"/>
      <c r="AD6" s="158"/>
      <c r="AE6" s="158"/>
      <c r="AF6" s="158"/>
      <c r="AG6" s="159"/>
      <c r="AH6" s="13">
        <f t="shared" si="6"/>
        <v>69</v>
      </c>
      <c r="AI6" s="11">
        <f t="shared" si="7"/>
        <v>2</v>
      </c>
      <c r="AJ6" s="12">
        <f t="shared" si="8"/>
        <v>34.5</v>
      </c>
      <c r="AK6" s="74"/>
      <c r="AL6" s="119">
        <f t="shared" si="9"/>
        <v>267</v>
      </c>
      <c r="AM6" s="91">
        <f t="shared" si="10"/>
        <v>7</v>
      </c>
      <c r="AN6" s="91">
        <f t="shared" si="11"/>
        <v>38.142857142857146</v>
      </c>
      <c r="AO6" s="244">
        <f t="shared" si="12"/>
        <v>100.37593984962405</v>
      </c>
      <c r="AP6" s="248">
        <f t="shared" si="13"/>
        <v>100.37593984962405</v>
      </c>
    </row>
    <row r="7" spans="1:48" s="10" customFormat="1" ht="20.100000000000001" customHeight="1">
      <c r="A7" s="26" t="s">
        <v>103</v>
      </c>
      <c r="B7" s="67">
        <v>25</v>
      </c>
      <c r="C7" s="157">
        <v>19</v>
      </c>
      <c r="D7" s="158"/>
      <c r="E7" s="158">
        <v>24</v>
      </c>
      <c r="F7" s="158">
        <v>34</v>
      </c>
      <c r="G7" s="158">
        <v>26</v>
      </c>
      <c r="H7" s="158">
        <v>20</v>
      </c>
      <c r="I7" s="158">
        <v>39</v>
      </c>
      <c r="J7" s="158">
        <v>35</v>
      </c>
      <c r="K7" s="158"/>
      <c r="L7" s="158">
        <v>21</v>
      </c>
      <c r="M7" s="158">
        <v>27</v>
      </c>
      <c r="N7" s="158">
        <v>38</v>
      </c>
      <c r="O7" s="159">
        <v>33</v>
      </c>
      <c r="P7" s="13">
        <f t="shared" si="2"/>
        <v>316</v>
      </c>
      <c r="Q7" s="11">
        <f t="shared" si="3"/>
        <v>11</v>
      </c>
      <c r="R7" s="91">
        <f t="shared" si="4"/>
        <v>28.727272727272727</v>
      </c>
      <c r="S7" s="244">
        <f t="shared" si="5"/>
        <v>114.90909090909092</v>
      </c>
      <c r="T7" s="67">
        <v>25</v>
      </c>
      <c r="U7" s="157">
        <v>30</v>
      </c>
      <c r="V7" s="158">
        <v>30</v>
      </c>
      <c r="W7" s="158">
        <v>25</v>
      </c>
      <c r="X7" s="158">
        <v>25</v>
      </c>
      <c r="Y7" s="158"/>
      <c r="Z7" s="158">
        <v>19</v>
      </c>
      <c r="AA7" s="158"/>
      <c r="AB7" s="158"/>
      <c r="AC7" s="158"/>
      <c r="AD7" s="158"/>
      <c r="AE7" s="158"/>
      <c r="AF7" s="158"/>
      <c r="AG7" s="159"/>
      <c r="AH7" s="13">
        <f t="shared" si="6"/>
        <v>129</v>
      </c>
      <c r="AI7" s="11">
        <f t="shared" si="7"/>
        <v>5</v>
      </c>
      <c r="AJ7" s="12">
        <f t="shared" si="8"/>
        <v>25.8</v>
      </c>
      <c r="AK7" s="74"/>
      <c r="AL7" s="119">
        <f t="shared" si="9"/>
        <v>445</v>
      </c>
      <c r="AM7" s="91">
        <f t="shared" si="10"/>
        <v>16</v>
      </c>
      <c r="AN7" s="91">
        <f t="shared" si="11"/>
        <v>27.8125</v>
      </c>
      <c r="AO7" s="244">
        <f t="shared" si="12"/>
        <v>111.25</v>
      </c>
      <c r="AP7" s="248">
        <f t="shared" si="13"/>
        <v>111.25</v>
      </c>
    </row>
    <row r="8" spans="1:48" s="10" customFormat="1" ht="20.100000000000001" customHeight="1">
      <c r="A8" s="26" t="s">
        <v>104</v>
      </c>
      <c r="B8" s="67">
        <v>15</v>
      </c>
      <c r="C8" s="157">
        <v>16</v>
      </c>
      <c r="D8" s="158">
        <v>1E-4</v>
      </c>
      <c r="E8" s="158">
        <v>6</v>
      </c>
      <c r="F8" s="158"/>
      <c r="G8" s="158"/>
      <c r="H8" s="158">
        <v>7</v>
      </c>
      <c r="I8" s="158">
        <v>9</v>
      </c>
      <c r="J8" s="158">
        <v>15</v>
      </c>
      <c r="K8" s="158"/>
      <c r="L8" s="158"/>
      <c r="M8" s="158"/>
      <c r="N8" s="158">
        <v>16</v>
      </c>
      <c r="O8" s="159">
        <v>17</v>
      </c>
      <c r="P8" s="13">
        <f t="shared" si="2"/>
        <v>86.000100000000003</v>
      </c>
      <c r="Q8" s="11">
        <f t="shared" si="3"/>
        <v>8</v>
      </c>
      <c r="R8" s="91">
        <f t="shared" si="4"/>
        <v>10.7500125</v>
      </c>
      <c r="S8" s="244">
        <f t="shared" si="5"/>
        <v>71.666750000000008</v>
      </c>
      <c r="T8" s="67">
        <v>15</v>
      </c>
      <c r="U8" s="157">
        <v>11</v>
      </c>
      <c r="V8" s="158"/>
      <c r="W8" s="158"/>
      <c r="X8" s="158">
        <v>13</v>
      </c>
      <c r="Y8" s="158">
        <v>18</v>
      </c>
      <c r="Z8" s="158">
        <v>21</v>
      </c>
      <c r="AA8" s="158"/>
      <c r="AB8" s="158"/>
      <c r="AC8" s="158"/>
      <c r="AD8" s="158"/>
      <c r="AE8" s="158"/>
      <c r="AF8" s="158"/>
      <c r="AG8" s="159"/>
      <c r="AH8" s="13">
        <f t="shared" si="6"/>
        <v>63</v>
      </c>
      <c r="AI8" s="11">
        <f t="shared" si="7"/>
        <v>4</v>
      </c>
      <c r="AJ8" s="12">
        <f t="shared" si="8"/>
        <v>15.75</v>
      </c>
      <c r="AK8" s="74"/>
      <c r="AL8" s="119">
        <f t="shared" si="9"/>
        <v>149.0001</v>
      </c>
      <c r="AM8" s="91">
        <f t="shared" si="10"/>
        <v>12</v>
      </c>
      <c r="AN8" s="91">
        <f t="shared" si="11"/>
        <v>12.416675</v>
      </c>
      <c r="AO8" s="244">
        <f t="shared" si="12"/>
        <v>82.777833333333334</v>
      </c>
      <c r="AP8" s="248">
        <f t="shared" si="13"/>
        <v>82.777833333333334</v>
      </c>
    </row>
    <row r="9" spans="1:48" s="10" customFormat="1" ht="20.100000000000001" customHeight="1">
      <c r="A9" s="66" t="s">
        <v>105</v>
      </c>
      <c r="B9" s="67">
        <v>39</v>
      </c>
      <c r="C9" s="157">
        <v>38</v>
      </c>
      <c r="D9" s="158"/>
      <c r="E9" s="158">
        <v>38</v>
      </c>
      <c r="F9" s="158"/>
      <c r="G9" s="158">
        <v>33</v>
      </c>
      <c r="H9" s="158">
        <v>46</v>
      </c>
      <c r="I9" s="158">
        <v>25</v>
      </c>
      <c r="J9" s="158"/>
      <c r="K9" s="158">
        <v>55</v>
      </c>
      <c r="L9" s="158">
        <v>48</v>
      </c>
      <c r="M9" s="158">
        <v>52</v>
      </c>
      <c r="N9" s="158"/>
      <c r="O9" s="159"/>
      <c r="P9" s="13">
        <f t="shared" si="2"/>
        <v>335</v>
      </c>
      <c r="Q9" s="11">
        <f t="shared" si="3"/>
        <v>8</v>
      </c>
      <c r="R9" s="91">
        <f t="shared" si="4"/>
        <v>41.875</v>
      </c>
      <c r="S9" s="244">
        <f t="shared" si="5"/>
        <v>107.37179487179486</v>
      </c>
      <c r="T9" s="67">
        <v>39</v>
      </c>
      <c r="U9" s="157">
        <v>55</v>
      </c>
      <c r="V9" s="158">
        <v>32</v>
      </c>
      <c r="W9" s="158"/>
      <c r="X9" s="158"/>
      <c r="Y9" s="158">
        <v>62</v>
      </c>
      <c r="Z9" s="158"/>
      <c r="AA9" s="158">
        <v>45</v>
      </c>
      <c r="AB9" s="158"/>
      <c r="AC9" s="158"/>
      <c r="AD9" s="158"/>
      <c r="AE9" s="158"/>
      <c r="AF9" s="158"/>
      <c r="AG9" s="159"/>
      <c r="AH9" s="13">
        <f t="shared" si="6"/>
        <v>194</v>
      </c>
      <c r="AI9" s="11">
        <f t="shared" si="7"/>
        <v>4</v>
      </c>
      <c r="AJ9" s="12">
        <f t="shared" si="8"/>
        <v>48.5</v>
      </c>
      <c r="AK9" s="74"/>
      <c r="AL9" s="119">
        <f t="shared" si="9"/>
        <v>529</v>
      </c>
      <c r="AM9" s="91">
        <f t="shared" si="10"/>
        <v>12</v>
      </c>
      <c r="AN9" s="91">
        <f t="shared" si="11"/>
        <v>44.083333333333336</v>
      </c>
      <c r="AO9" s="244">
        <f t="shared" si="12"/>
        <v>113.03418803418803</v>
      </c>
      <c r="AP9" s="248">
        <f t="shared" si="13"/>
        <v>113.03418803418803</v>
      </c>
      <c r="AV9" s="303"/>
    </row>
    <row r="10" spans="1:48" s="10" customFormat="1" ht="20.100000000000001" customHeight="1">
      <c r="A10" s="26" t="s">
        <v>106</v>
      </c>
      <c r="B10" s="67">
        <v>23</v>
      </c>
      <c r="C10" s="157"/>
      <c r="D10" s="158"/>
      <c r="E10" s="158"/>
      <c r="F10" s="158">
        <v>27</v>
      </c>
      <c r="G10" s="158">
        <v>16</v>
      </c>
      <c r="H10" s="158"/>
      <c r="I10" s="158"/>
      <c r="J10" s="158"/>
      <c r="K10" s="158">
        <v>26</v>
      </c>
      <c r="L10" s="158">
        <v>15</v>
      </c>
      <c r="M10" s="158">
        <v>33</v>
      </c>
      <c r="N10" s="158"/>
      <c r="O10" s="159"/>
      <c r="P10" s="13">
        <f t="shared" si="2"/>
        <v>117</v>
      </c>
      <c r="Q10" s="11">
        <f t="shared" si="3"/>
        <v>5</v>
      </c>
      <c r="R10" s="91">
        <f t="shared" si="4"/>
        <v>23.4</v>
      </c>
      <c r="S10" s="244">
        <f t="shared" si="5"/>
        <v>101.7391304347826</v>
      </c>
      <c r="T10" s="67">
        <v>23</v>
      </c>
      <c r="U10" s="157">
        <v>34</v>
      </c>
      <c r="V10" s="158">
        <v>17</v>
      </c>
      <c r="W10" s="158">
        <v>13</v>
      </c>
      <c r="X10" s="158"/>
      <c r="Y10" s="158"/>
      <c r="Z10" s="158"/>
      <c r="AA10" s="158">
        <v>20</v>
      </c>
      <c r="AB10" s="158"/>
      <c r="AC10" s="158"/>
      <c r="AD10" s="158"/>
      <c r="AE10" s="158"/>
      <c r="AF10" s="158"/>
      <c r="AG10" s="159"/>
      <c r="AH10" s="13">
        <f t="shared" si="6"/>
        <v>84</v>
      </c>
      <c r="AI10" s="11">
        <f t="shared" si="7"/>
        <v>4</v>
      </c>
      <c r="AJ10" s="12">
        <f t="shared" si="8"/>
        <v>21</v>
      </c>
      <c r="AK10" s="74"/>
      <c r="AL10" s="119">
        <f t="shared" si="9"/>
        <v>201</v>
      </c>
      <c r="AM10" s="91">
        <f t="shared" si="10"/>
        <v>9</v>
      </c>
      <c r="AN10" s="91">
        <f t="shared" si="11"/>
        <v>22.333333333333332</v>
      </c>
      <c r="AO10" s="244">
        <f t="shared" si="12"/>
        <v>97.101449275362313</v>
      </c>
      <c r="AP10" s="248">
        <f t="shared" si="13"/>
        <v>97.101449275362313</v>
      </c>
    </row>
    <row r="11" spans="1:48" s="10" customFormat="1" ht="20.100000000000001" customHeight="1">
      <c r="A11" s="26" t="s">
        <v>107</v>
      </c>
      <c r="B11" s="67">
        <v>64</v>
      </c>
      <c r="C11" s="157">
        <v>65</v>
      </c>
      <c r="D11" s="158">
        <v>82</v>
      </c>
      <c r="E11" s="158"/>
      <c r="F11" s="158"/>
      <c r="G11" s="158"/>
      <c r="H11" s="158">
        <v>73</v>
      </c>
      <c r="I11" s="158">
        <v>76</v>
      </c>
      <c r="J11" s="158"/>
      <c r="K11" s="158"/>
      <c r="L11" s="158">
        <v>102</v>
      </c>
      <c r="M11" s="158">
        <v>77</v>
      </c>
      <c r="N11" s="158">
        <v>115</v>
      </c>
      <c r="O11" s="159">
        <v>67</v>
      </c>
      <c r="P11" s="13">
        <f t="shared" si="2"/>
        <v>657</v>
      </c>
      <c r="Q11" s="11">
        <f t="shared" si="3"/>
        <v>8</v>
      </c>
      <c r="R11" s="91">
        <f t="shared" si="4"/>
        <v>82.125</v>
      </c>
      <c r="S11" s="244">
        <f t="shared" si="5"/>
        <v>128.3203125</v>
      </c>
      <c r="T11" s="67">
        <v>64</v>
      </c>
      <c r="U11" s="157"/>
      <c r="V11" s="158"/>
      <c r="W11" s="158">
        <v>60</v>
      </c>
      <c r="X11" s="158">
        <v>35</v>
      </c>
      <c r="Y11" s="158">
        <v>82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177</v>
      </c>
      <c r="AI11" s="11">
        <f t="shared" si="7"/>
        <v>3</v>
      </c>
      <c r="AJ11" s="12">
        <f t="shared" si="8"/>
        <v>59</v>
      </c>
      <c r="AK11" s="74"/>
      <c r="AL11" s="119">
        <f t="shared" si="9"/>
        <v>834</v>
      </c>
      <c r="AM11" s="91">
        <f t="shared" si="10"/>
        <v>11</v>
      </c>
      <c r="AN11" s="91">
        <f t="shared" si="11"/>
        <v>75.818181818181813</v>
      </c>
      <c r="AO11" s="244">
        <f t="shared" si="12"/>
        <v>118.46590909090908</v>
      </c>
      <c r="AP11" s="248">
        <f t="shared" si="13"/>
        <v>118.46590909090908</v>
      </c>
    </row>
    <row r="12" spans="1:48" s="10" customFormat="1" ht="20.100000000000001" customHeight="1">
      <c r="A12" s="26" t="s">
        <v>108</v>
      </c>
      <c r="B12" s="67">
        <v>53</v>
      </c>
      <c r="C12" s="157">
        <v>33</v>
      </c>
      <c r="D12" s="158">
        <v>49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82</v>
      </c>
      <c r="Q12" s="11">
        <f t="shared" si="3"/>
        <v>2</v>
      </c>
      <c r="R12" s="91">
        <f t="shared" si="4"/>
        <v>41</v>
      </c>
      <c r="S12" s="244">
        <f t="shared" si="5"/>
        <v>77.358490566037744</v>
      </c>
      <c r="T12" s="67">
        <v>53</v>
      </c>
      <c r="U12" s="157">
        <v>41</v>
      </c>
      <c r="V12" s="158"/>
      <c r="W12" s="158"/>
      <c r="X12" s="158">
        <v>40</v>
      </c>
      <c r="Y12" s="158">
        <v>53</v>
      </c>
      <c r="Z12" s="158">
        <v>43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177</v>
      </c>
      <c r="AI12" s="11">
        <f t="shared" si="7"/>
        <v>4</v>
      </c>
      <c r="AJ12" s="12">
        <f t="shared" si="8"/>
        <v>44.25</v>
      </c>
      <c r="AK12" s="74"/>
      <c r="AL12" s="119">
        <f t="shared" si="9"/>
        <v>259</v>
      </c>
      <c r="AM12" s="91">
        <f t="shared" si="10"/>
        <v>6</v>
      </c>
      <c r="AN12" s="91">
        <f t="shared" si="11"/>
        <v>43.166666666666664</v>
      </c>
      <c r="AO12" s="244">
        <f t="shared" si="12"/>
        <v>81.44654088050315</v>
      </c>
      <c r="AP12" s="248">
        <f t="shared" si="13"/>
        <v>81.44654088050315</v>
      </c>
    </row>
    <row r="13" spans="1:48" s="10" customFormat="1" ht="20.100000000000001" customHeight="1">
      <c r="A13" s="26" t="s">
        <v>306</v>
      </c>
      <c r="B13" s="67">
        <v>27</v>
      </c>
      <c r="C13" s="157"/>
      <c r="D13" s="158"/>
      <c r="E13" s="158">
        <v>27</v>
      </c>
      <c r="F13" s="158">
        <v>21</v>
      </c>
      <c r="G13" s="158">
        <v>23</v>
      </c>
      <c r="H13" s="158"/>
      <c r="I13" s="158"/>
      <c r="J13" s="158">
        <v>18</v>
      </c>
      <c r="K13" s="158">
        <v>24</v>
      </c>
      <c r="L13" s="158">
        <v>42</v>
      </c>
      <c r="M13" s="158"/>
      <c r="N13" s="158">
        <v>14</v>
      </c>
      <c r="O13" s="159"/>
      <c r="P13" s="13">
        <f t="shared" si="2"/>
        <v>169</v>
      </c>
      <c r="Q13" s="11">
        <f t="shared" si="3"/>
        <v>7</v>
      </c>
      <c r="R13" s="91">
        <f t="shared" si="4"/>
        <v>24.142857142857142</v>
      </c>
      <c r="S13" s="244">
        <f t="shared" si="5"/>
        <v>89.417989417989418</v>
      </c>
      <c r="T13" s="67">
        <v>27</v>
      </c>
      <c r="U13" s="157">
        <v>34</v>
      </c>
      <c r="V13" s="158"/>
      <c r="W13" s="158">
        <v>23</v>
      </c>
      <c r="X13" s="158">
        <v>26</v>
      </c>
      <c r="Y13" s="158"/>
      <c r="Z13" s="158">
        <v>46</v>
      </c>
      <c r="AA13" s="158">
        <v>52</v>
      </c>
      <c r="AB13" s="158"/>
      <c r="AC13" s="158"/>
      <c r="AD13" s="158"/>
      <c r="AE13" s="158"/>
      <c r="AF13" s="158"/>
      <c r="AG13" s="159"/>
      <c r="AH13" s="13">
        <f t="shared" si="6"/>
        <v>181</v>
      </c>
      <c r="AI13" s="11">
        <f t="shared" si="7"/>
        <v>5</v>
      </c>
      <c r="AJ13" s="12">
        <f t="shared" si="8"/>
        <v>36.200000000000003</v>
      </c>
      <c r="AK13" s="74"/>
      <c r="AL13" s="119">
        <f t="shared" si="9"/>
        <v>350</v>
      </c>
      <c r="AM13" s="91">
        <f t="shared" si="10"/>
        <v>12</v>
      </c>
      <c r="AN13" s="91">
        <f t="shared" si="11"/>
        <v>29.166666666666668</v>
      </c>
      <c r="AO13" s="244">
        <f t="shared" si="12"/>
        <v>108.02469135802468</v>
      </c>
      <c r="AP13" s="248">
        <f t="shared" si="13"/>
        <v>108.02469135802468</v>
      </c>
    </row>
    <row r="14" spans="1:48" s="10" customFormat="1" ht="20.100000000000001" customHeight="1">
      <c r="A14" s="26" t="s">
        <v>109</v>
      </c>
      <c r="B14" s="67">
        <v>30</v>
      </c>
      <c r="C14" s="157"/>
      <c r="D14" s="158"/>
      <c r="E14" s="158">
        <v>36</v>
      </c>
      <c r="F14" s="158">
        <v>25</v>
      </c>
      <c r="G14" s="158"/>
      <c r="H14" s="158"/>
      <c r="I14" s="158">
        <v>23</v>
      </c>
      <c r="J14" s="158"/>
      <c r="K14" s="158">
        <v>17</v>
      </c>
      <c r="L14" s="158"/>
      <c r="M14" s="158"/>
      <c r="N14" s="158"/>
      <c r="O14" s="159"/>
      <c r="P14" s="13">
        <f t="shared" si="2"/>
        <v>101</v>
      </c>
      <c r="Q14" s="11">
        <f t="shared" si="3"/>
        <v>4</v>
      </c>
      <c r="R14" s="91">
        <f t="shared" si="4"/>
        <v>25.25</v>
      </c>
      <c r="S14" s="244">
        <f t="shared" si="5"/>
        <v>84.166666666666671</v>
      </c>
      <c r="T14" s="67">
        <v>30</v>
      </c>
      <c r="U14" s="157"/>
      <c r="V14" s="158">
        <v>16</v>
      </c>
      <c r="W14" s="158">
        <v>21</v>
      </c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4"/>
      <c r="AL14" s="119">
        <f t="shared" si="9"/>
        <v>138</v>
      </c>
      <c r="AM14" s="91">
        <f t="shared" si="10"/>
        <v>6</v>
      </c>
      <c r="AN14" s="91">
        <f t="shared" si="11"/>
        <v>23</v>
      </c>
      <c r="AO14" s="244">
        <f t="shared" si="12"/>
        <v>76.666666666666671</v>
      </c>
      <c r="AP14" s="248">
        <f t="shared" si="13"/>
        <v>76.666666666666671</v>
      </c>
    </row>
    <row r="15" spans="1:48" s="10" customFormat="1" ht="20.100000000000001" customHeight="1">
      <c r="A15" s="26" t="s">
        <v>307</v>
      </c>
      <c r="B15" s="67">
        <v>16</v>
      </c>
      <c r="C15" s="157">
        <v>20</v>
      </c>
      <c r="D15" s="158">
        <v>17</v>
      </c>
      <c r="E15" s="158"/>
      <c r="F15" s="158"/>
      <c r="G15" s="158">
        <v>14</v>
      </c>
      <c r="H15" s="158">
        <v>19</v>
      </c>
      <c r="I15" s="158"/>
      <c r="J15" s="158">
        <v>17</v>
      </c>
      <c r="K15" s="158"/>
      <c r="L15" s="158"/>
      <c r="M15" s="158">
        <v>5</v>
      </c>
      <c r="N15" s="158">
        <v>7</v>
      </c>
      <c r="O15" s="159">
        <v>19</v>
      </c>
      <c r="P15" s="13">
        <f t="shared" si="2"/>
        <v>118</v>
      </c>
      <c r="Q15" s="11">
        <f t="shared" si="3"/>
        <v>8</v>
      </c>
      <c r="R15" s="91">
        <f t="shared" si="4"/>
        <v>14.75</v>
      </c>
      <c r="S15" s="244">
        <f t="shared" si="5"/>
        <v>92.1875</v>
      </c>
      <c r="T15" s="67">
        <v>16</v>
      </c>
      <c r="U15" s="157"/>
      <c r="V15" s="158"/>
      <c r="W15" s="158"/>
      <c r="X15" s="158">
        <v>14</v>
      </c>
      <c r="Y15" s="158">
        <v>14</v>
      </c>
      <c r="Z15" s="158">
        <v>13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41</v>
      </c>
      <c r="AI15" s="11">
        <f t="shared" si="7"/>
        <v>3</v>
      </c>
      <c r="AJ15" s="12">
        <f t="shared" si="8"/>
        <v>13.666666666666666</v>
      </c>
      <c r="AK15" s="74"/>
      <c r="AL15" s="119">
        <f t="shared" si="9"/>
        <v>159</v>
      </c>
      <c r="AM15" s="91">
        <f t="shared" si="10"/>
        <v>11</v>
      </c>
      <c r="AN15" s="91">
        <f t="shared" si="11"/>
        <v>14.454545454545455</v>
      </c>
      <c r="AO15" s="244">
        <f t="shared" si="12"/>
        <v>90.340909090909093</v>
      </c>
      <c r="AP15" s="248">
        <f t="shared" si="13"/>
        <v>90.340909090909093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3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253</v>
      </c>
      <c r="Z19" s="19">
        <f t="shared" si="16"/>
        <v>159</v>
      </c>
      <c r="AA19" s="19">
        <f t="shared" si="16"/>
        <v>187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1302</v>
      </c>
      <c r="AI19" s="18">
        <f>SUM(AI4:AI18)</f>
        <v>42</v>
      </c>
      <c r="AJ19" s="23">
        <f>AH19/AI19</f>
        <v>31</v>
      </c>
      <c r="AK19" s="75"/>
      <c r="AL19" s="24">
        <f>SUM(AL4:AL18)</f>
        <v>3870.0001000000002</v>
      </c>
      <c r="AM19" s="18">
        <f>SUM(AM4:AM18)</f>
        <v>120</v>
      </c>
      <c r="AN19" s="18">
        <f t="shared" ref="AN19" si="18">AL19/AM19</f>
        <v>32.250000833333338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26</v>
      </c>
      <c r="B2" s="333" t="s">
        <v>42</v>
      </c>
      <c r="C2" s="335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110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308</v>
      </c>
      <c r="B4" s="131">
        <v>38</v>
      </c>
      <c r="C4" s="154"/>
      <c r="D4" s="155">
        <v>29</v>
      </c>
      <c r="E4" s="155"/>
      <c r="F4" s="155"/>
      <c r="G4" s="155"/>
      <c r="H4" s="155">
        <v>46</v>
      </c>
      <c r="I4" s="155">
        <v>34</v>
      </c>
      <c r="J4" s="155"/>
      <c r="K4" s="155">
        <v>33</v>
      </c>
      <c r="L4" s="155">
        <v>28</v>
      </c>
      <c r="M4" s="155"/>
      <c r="N4" s="155">
        <v>42</v>
      </c>
      <c r="O4" s="156"/>
      <c r="P4" s="9">
        <f>SUM(C4:O4)</f>
        <v>212</v>
      </c>
      <c r="Q4" s="8">
        <f>COUNTIF(C4:O4,"&gt;0")</f>
        <v>6</v>
      </c>
      <c r="R4" s="118">
        <f>IF(P4=0," ",P4/Q4)</f>
        <v>35.333333333333336</v>
      </c>
      <c r="S4" s="243">
        <f>IF(P4=0," ",P4/(Q4*B4)*100)</f>
        <v>92.982456140350877</v>
      </c>
      <c r="T4" s="67">
        <v>38</v>
      </c>
      <c r="U4" s="154"/>
      <c r="V4" s="155">
        <v>20</v>
      </c>
      <c r="W4" s="155">
        <v>27</v>
      </c>
      <c r="X4" s="155"/>
      <c r="Y4" s="155"/>
      <c r="Z4" s="155">
        <v>35</v>
      </c>
      <c r="AA4" s="155"/>
      <c r="AB4" s="155"/>
      <c r="AC4" s="155"/>
      <c r="AD4" s="155"/>
      <c r="AE4" s="155"/>
      <c r="AF4" s="155"/>
      <c r="AG4" s="156"/>
      <c r="AH4" s="9">
        <f>SUM(U4:AG4)</f>
        <v>82</v>
      </c>
      <c r="AI4" s="8">
        <f>COUNTIF(U4:AG4,"&gt;0")</f>
        <v>3</v>
      </c>
      <c r="AJ4" s="90">
        <f>IF(AH4=0," ",AH4/AI4)</f>
        <v>27.333333333333332</v>
      </c>
      <c r="AK4" s="74"/>
      <c r="AL4" s="117">
        <f t="shared" ref="AL4" si="0">P4+AH4</f>
        <v>294</v>
      </c>
      <c r="AM4" s="118">
        <f t="shared" ref="AM4" si="1">Q4+AI4</f>
        <v>9</v>
      </c>
      <c r="AN4" s="118">
        <f>IF(AL4=0," ",AL4/AM4)</f>
        <v>32.666666666666664</v>
      </c>
      <c r="AO4" s="243">
        <f t="shared" ref="AO4" si="2">IF(AL4=0," ",AL4/(AM4*T4)*100)</f>
        <v>85.964912280701753</v>
      </c>
      <c r="AP4" s="248">
        <f>IF($AM4&gt;=$AP$1,$AL4/($AM4*$T4)*100,"0")</f>
        <v>85.964912280701753</v>
      </c>
    </row>
    <row r="5" spans="1:48" s="10" customFormat="1" ht="20.100000000000001" customHeight="1">
      <c r="A5" s="26" t="s">
        <v>316</v>
      </c>
      <c r="B5" s="67">
        <v>58</v>
      </c>
      <c r="C5" s="157">
        <v>58</v>
      </c>
      <c r="D5" s="158">
        <v>40</v>
      </c>
      <c r="E5" s="158"/>
      <c r="F5" s="158">
        <v>41</v>
      </c>
      <c r="G5" s="158">
        <v>58</v>
      </c>
      <c r="H5" s="158">
        <v>59</v>
      </c>
      <c r="I5" s="158">
        <v>61</v>
      </c>
      <c r="J5" s="158"/>
      <c r="K5" s="158"/>
      <c r="L5" s="158"/>
      <c r="M5" s="158">
        <v>50</v>
      </c>
      <c r="N5" s="158">
        <v>43</v>
      </c>
      <c r="O5" s="159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1">
        <f t="shared" ref="R5:R18" si="5">IF(P5=0," ",P5/Q5)</f>
        <v>56</v>
      </c>
      <c r="S5" s="244">
        <f t="shared" ref="S5:S18" si="6">IF(P5=0," ",P5/(Q5*B5)*100)</f>
        <v>96.551724137931032</v>
      </c>
      <c r="T5" s="67">
        <v>58</v>
      </c>
      <c r="U5" s="157">
        <v>56</v>
      </c>
      <c r="V5" s="158">
        <v>53</v>
      </c>
      <c r="W5" s="158">
        <v>68</v>
      </c>
      <c r="X5" s="158">
        <v>66</v>
      </c>
      <c r="Y5" s="158">
        <v>26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269</v>
      </c>
      <c r="AI5" s="11">
        <f t="shared" ref="AI5:AI18" si="8">COUNTIF(U5:AG5,"&gt;0")</f>
        <v>5</v>
      </c>
      <c r="AJ5" s="12">
        <f t="shared" ref="AJ5:AJ18" si="9">IF(AH5=0," ",AH5/AI5)</f>
        <v>53.8</v>
      </c>
      <c r="AK5" s="74"/>
      <c r="AL5" s="119">
        <f t="shared" ref="AL5:AL18" si="10">P5+AH5</f>
        <v>773</v>
      </c>
      <c r="AM5" s="91">
        <f t="shared" ref="AM5:AM18" si="11">Q5+AI5</f>
        <v>14</v>
      </c>
      <c r="AN5" s="91">
        <f t="shared" ref="AN5:AN18" si="12">IF(AL5=0," ",AL5/AM5)</f>
        <v>55.214285714285715</v>
      </c>
      <c r="AO5" s="244">
        <f t="shared" ref="AO5:AO18" si="13">IF(AL5=0," ",AL5/(AM5*T5)*100)</f>
        <v>95.197044334975374</v>
      </c>
      <c r="AP5" s="248">
        <f t="shared" ref="AP5:AP18" si="14">IF($AM5&gt;=$AP$1,$AL5/($AM5*$T5)*100,"0")</f>
        <v>95.197044334975374</v>
      </c>
    </row>
    <row r="6" spans="1:48" s="10" customFormat="1" ht="20.100000000000001" customHeight="1">
      <c r="A6" s="66" t="s">
        <v>111</v>
      </c>
      <c r="B6" s="67">
        <v>27</v>
      </c>
      <c r="C6" s="157"/>
      <c r="D6" s="158">
        <v>26</v>
      </c>
      <c r="E6" s="158">
        <v>26</v>
      </c>
      <c r="F6" s="158"/>
      <c r="G6" s="158">
        <v>38</v>
      </c>
      <c r="H6" s="158">
        <v>19</v>
      </c>
      <c r="I6" s="158"/>
      <c r="J6" s="158">
        <v>39</v>
      </c>
      <c r="K6" s="158">
        <v>38</v>
      </c>
      <c r="L6" s="158">
        <v>26</v>
      </c>
      <c r="M6" s="158">
        <v>20</v>
      </c>
      <c r="N6" s="158">
        <v>26</v>
      </c>
      <c r="O6" s="159">
        <v>19</v>
      </c>
      <c r="P6" s="13">
        <f t="shared" si="3"/>
        <v>277</v>
      </c>
      <c r="Q6" s="11">
        <f t="shared" si="4"/>
        <v>10</v>
      </c>
      <c r="R6" s="91">
        <f t="shared" si="5"/>
        <v>27.7</v>
      </c>
      <c r="S6" s="244">
        <f t="shared" si="6"/>
        <v>102.5925925925926</v>
      </c>
      <c r="T6" s="67">
        <v>27</v>
      </c>
      <c r="U6" s="157">
        <v>29</v>
      </c>
      <c r="V6" s="158">
        <v>24</v>
      </c>
      <c r="W6" s="158">
        <v>24</v>
      </c>
      <c r="X6" s="158"/>
      <c r="Y6" s="158">
        <v>23</v>
      </c>
      <c r="Z6" s="158">
        <v>20</v>
      </c>
      <c r="AA6" s="158">
        <v>28</v>
      </c>
      <c r="AB6" s="158"/>
      <c r="AC6" s="158"/>
      <c r="AD6" s="158"/>
      <c r="AE6" s="158"/>
      <c r="AF6" s="158"/>
      <c r="AG6" s="159"/>
      <c r="AH6" s="13">
        <f t="shared" si="7"/>
        <v>148</v>
      </c>
      <c r="AI6" s="11">
        <f t="shared" si="8"/>
        <v>6</v>
      </c>
      <c r="AJ6" s="12">
        <f t="shared" si="9"/>
        <v>24.666666666666668</v>
      </c>
      <c r="AK6" s="74"/>
      <c r="AL6" s="119">
        <f t="shared" si="10"/>
        <v>425</v>
      </c>
      <c r="AM6" s="91">
        <f t="shared" si="11"/>
        <v>16</v>
      </c>
      <c r="AN6" s="91">
        <f t="shared" si="12"/>
        <v>26.5625</v>
      </c>
      <c r="AO6" s="244">
        <f t="shared" si="13"/>
        <v>98.379629629629633</v>
      </c>
      <c r="AP6" s="248">
        <f t="shared" si="14"/>
        <v>98.379629629629633</v>
      </c>
    </row>
    <row r="7" spans="1:48" s="10" customFormat="1" ht="20.100000000000001" customHeight="1">
      <c r="A7" s="26" t="s">
        <v>112</v>
      </c>
      <c r="B7" s="67">
        <v>30</v>
      </c>
      <c r="C7" s="157">
        <v>28</v>
      </c>
      <c r="D7" s="158"/>
      <c r="E7" s="158">
        <v>44</v>
      </c>
      <c r="F7" s="158">
        <v>48</v>
      </c>
      <c r="G7" s="158"/>
      <c r="H7" s="158">
        <v>35</v>
      </c>
      <c r="I7" s="158">
        <v>26</v>
      </c>
      <c r="J7" s="158">
        <v>32</v>
      </c>
      <c r="K7" s="158"/>
      <c r="L7" s="158">
        <v>36</v>
      </c>
      <c r="M7" s="158">
        <v>39</v>
      </c>
      <c r="N7" s="158"/>
      <c r="O7" s="159">
        <v>27</v>
      </c>
      <c r="P7" s="13">
        <f t="shared" si="3"/>
        <v>315</v>
      </c>
      <c r="Q7" s="11">
        <f t="shared" si="4"/>
        <v>9</v>
      </c>
      <c r="R7" s="91">
        <f t="shared" si="5"/>
        <v>35</v>
      </c>
      <c r="S7" s="244">
        <f t="shared" si="6"/>
        <v>116.66666666666667</v>
      </c>
      <c r="T7" s="67">
        <v>30</v>
      </c>
      <c r="U7" s="157">
        <v>38</v>
      </c>
      <c r="V7" s="158">
        <v>31</v>
      </c>
      <c r="W7" s="158">
        <v>39</v>
      </c>
      <c r="X7" s="158">
        <v>31</v>
      </c>
      <c r="Y7" s="158">
        <v>20</v>
      </c>
      <c r="Z7" s="158">
        <v>29</v>
      </c>
      <c r="AA7" s="158">
        <v>48</v>
      </c>
      <c r="AB7" s="158"/>
      <c r="AC7" s="158"/>
      <c r="AD7" s="158"/>
      <c r="AE7" s="158"/>
      <c r="AF7" s="158"/>
      <c r="AG7" s="159"/>
      <c r="AH7" s="13">
        <f t="shared" si="7"/>
        <v>236</v>
      </c>
      <c r="AI7" s="11">
        <f t="shared" si="8"/>
        <v>7</v>
      </c>
      <c r="AJ7" s="12">
        <f t="shared" si="9"/>
        <v>33.714285714285715</v>
      </c>
      <c r="AK7" s="74"/>
      <c r="AL7" s="119">
        <f t="shared" si="10"/>
        <v>551</v>
      </c>
      <c r="AM7" s="91">
        <f t="shared" si="11"/>
        <v>16</v>
      </c>
      <c r="AN7" s="91">
        <f t="shared" si="12"/>
        <v>34.4375</v>
      </c>
      <c r="AO7" s="244">
        <f t="shared" si="13"/>
        <v>114.79166666666667</v>
      </c>
      <c r="AP7" s="248">
        <f t="shared" si="14"/>
        <v>114.79166666666667</v>
      </c>
    </row>
    <row r="8" spans="1:48" s="10" customFormat="1" ht="20.100000000000001" customHeight="1">
      <c r="A8" s="26" t="s">
        <v>113</v>
      </c>
      <c r="B8" s="67">
        <v>53</v>
      </c>
      <c r="C8" s="157"/>
      <c r="D8" s="158">
        <v>73</v>
      </c>
      <c r="E8" s="158">
        <v>41</v>
      </c>
      <c r="F8" s="158"/>
      <c r="G8" s="158">
        <v>51</v>
      </c>
      <c r="H8" s="158">
        <v>32</v>
      </c>
      <c r="I8" s="158"/>
      <c r="J8" s="158">
        <v>58</v>
      </c>
      <c r="K8" s="158">
        <v>58</v>
      </c>
      <c r="L8" s="158"/>
      <c r="M8" s="158">
        <v>64</v>
      </c>
      <c r="N8" s="158">
        <v>42</v>
      </c>
      <c r="O8" s="159"/>
      <c r="P8" s="13">
        <f t="shared" si="3"/>
        <v>419</v>
      </c>
      <c r="Q8" s="11">
        <f t="shared" si="4"/>
        <v>8</v>
      </c>
      <c r="R8" s="91">
        <f t="shared" si="5"/>
        <v>52.375</v>
      </c>
      <c r="S8" s="244">
        <f t="shared" si="6"/>
        <v>98.820754716981128</v>
      </c>
      <c r="T8" s="67">
        <v>53</v>
      </c>
      <c r="U8" s="157">
        <v>77</v>
      </c>
      <c r="V8" s="158"/>
      <c r="W8" s="158"/>
      <c r="X8" s="158">
        <v>73</v>
      </c>
      <c r="Y8" s="158">
        <v>37</v>
      </c>
      <c r="Z8" s="158"/>
      <c r="AA8" s="158">
        <v>48</v>
      </c>
      <c r="AB8" s="158"/>
      <c r="AC8" s="158"/>
      <c r="AD8" s="158"/>
      <c r="AE8" s="158"/>
      <c r="AF8" s="158"/>
      <c r="AG8" s="159"/>
      <c r="AH8" s="13">
        <f t="shared" si="7"/>
        <v>235</v>
      </c>
      <c r="AI8" s="11">
        <f t="shared" si="8"/>
        <v>4</v>
      </c>
      <c r="AJ8" s="12">
        <f t="shared" si="9"/>
        <v>58.75</v>
      </c>
      <c r="AK8" s="74"/>
      <c r="AL8" s="119">
        <f t="shared" si="10"/>
        <v>654</v>
      </c>
      <c r="AM8" s="91">
        <f t="shared" si="11"/>
        <v>12</v>
      </c>
      <c r="AN8" s="91">
        <f t="shared" si="12"/>
        <v>54.5</v>
      </c>
      <c r="AO8" s="244">
        <f t="shared" si="13"/>
        <v>102.8301886792453</v>
      </c>
      <c r="AP8" s="248">
        <f t="shared" si="14"/>
        <v>102.8301886792453</v>
      </c>
    </row>
    <row r="9" spans="1:48" s="10" customFormat="1" ht="20.100000000000001" customHeight="1">
      <c r="A9" s="26" t="s">
        <v>114</v>
      </c>
      <c r="B9" s="67">
        <v>24</v>
      </c>
      <c r="C9" s="157">
        <v>16</v>
      </c>
      <c r="D9" s="158"/>
      <c r="E9" s="158">
        <v>33</v>
      </c>
      <c r="F9" s="158">
        <v>17</v>
      </c>
      <c r="G9" s="158"/>
      <c r="H9" s="158"/>
      <c r="I9" s="158">
        <v>14</v>
      </c>
      <c r="J9" s="158">
        <v>13</v>
      </c>
      <c r="K9" s="158"/>
      <c r="L9" s="158">
        <v>7</v>
      </c>
      <c r="M9" s="158"/>
      <c r="N9" s="158"/>
      <c r="O9" s="159">
        <v>47</v>
      </c>
      <c r="P9" s="13">
        <f t="shared" si="3"/>
        <v>147</v>
      </c>
      <c r="Q9" s="11">
        <f t="shared" si="4"/>
        <v>7</v>
      </c>
      <c r="R9" s="91">
        <f t="shared" si="5"/>
        <v>21</v>
      </c>
      <c r="S9" s="244">
        <f t="shared" si="6"/>
        <v>87.5</v>
      </c>
      <c r="T9" s="67">
        <v>24</v>
      </c>
      <c r="U9" s="157">
        <v>26</v>
      </c>
      <c r="V9" s="158"/>
      <c r="W9" s="158"/>
      <c r="X9" s="158">
        <v>15</v>
      </c>
      <c r="Y9" s="158">
        <v>33</v>
      </c>
      <c r="Z9" s="158">
        <v>31</v>
      </c>
      <c r="AA9" s="158">
        <v>24</v>
      </c>
      <c r="AB9" s="158"/>
      <c r="AC9" s="158"/>
      <c r="AD9" s="158"/>
      <c r="AE9" s="158"/>
      <c r="AF9" s="158"/>
      <c r="AG9" s="159"/>
      <c r="AH9" s="13">
        <f t="shared" si="7"/>
        <v>129</v>
      </c>
      <c r="AI9" s="11">
        <f t="shared" si="8"/>
        <v>5</v>
      </c>
      <c r="AJ9" s="12">
        <f t="shared" si="9"/>
        <v>25.8</v>
      </c>
      <c r="AK9" s="74"/>
      <c r="AL9" s="119">
        <f t="shared" si="10"/>
        <v>276</v>
      </c>
      <c r="AM9" s="91">
        <f t="shared" si="11"/>
        <v>12</v>
      </c>
      <c r="AN9" s="91">
        <f t="shared" si="12"/>
        <v>23</v>
      </c>
      <c r="AO9" s="244">
        <f t="shared" si="13"/>
        <v>95.833333333333343</v>
      </c>
      <c r="AP9" s="248">
        <f t="shared" si="14"/>
        <v>95.833333333333343</v>
      </c>
      <c r="AV9" s="303"/>
    </row>
    <row r="10" spans="1:48" s="10" customFormat="1" ht="20.100000000000001" customHeight="1">
      <c r="A10" s="26" t="s">
        <v>115</v>
      </c>
      <c r="B10" s="67">
        <v>24</v>
      </c>
      <c r="C10" s="157">
        <v>36</v>
      </c>
      <c r="D10" s="158">
        <v>19</v>
      </c>
      <c r="E10" s="158">
        <v>27</v>
      </c>
      <c r="F10" s="158">
        <v>26</v>
      </c>
      <c r="G10" s="158">
        <v>29</v>
      </c>
      <c r="H10" s="158"/>
      <c r="I10" s="158">
        <v>15</v>
      </c>
      <c r="J10" s="158">
        <v>19</v>
      </c>
      <c r="K10" s="158">
        <v>18</v>
      </c>
      <c r="L10" s="158"/>
      <c r="M10" s="158"/>
      <c r="N10" s="158"/>
      <c r="O10" s="159"/>
      <c r="P10" s="13">
        <f t="shared" si="3"/>
        <v>189</v>
      </c>
      <c r="Q10" s="11">
        <f t="shared" si="4"/>
        <v>8</v>
      </c>
      <c r="R10" s="91">
        <f t="shared" si="5"/>
        <v>23.625</v>
      </c>
      <c r="S10" s="244">
        <f t="shared" si="6"/>
        <v>98.4375</v>
      </c>
      <c r="T10" s="67">
        <v>24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189</v>
      </c>
      <c r="AM10" s="91">
        <f t="shared" si="11"/>
        <v>8</v>
      </c>
      <c r="AN10" s="91">
        <f t="shared" si="12"/>
        <v>23.625</v>
      </c>
      <c r="AO10" s="244">
        <f t="shared" si="13"/>
        <v>98.4375</v>
      </c>
      <c r="AP10" s="248">
        <f t="shared" si="14"/>
        <v>98.4375</v>
      </c>
    </row>
    <row r="11" spans="1:48" s="10" customFormat="1" ht="20.100000000000001" customHeight="1">
      <c r="A11" s="26" t="s">
        <v>116</v>
      </c>
      <c r="B11" s="67">
        <v>54</v>
      </c>
      <c r="C11" s="157">
        <v>49</v>
      </c>
      <c r="D11" s="158">
        <v>52</v>
      </c>
      <c r="E11" s="158"/>
      <c r="F11" s="158">
        <v>47</v>
      </c>
      <c r="G11" s="158">
        <v>35</v>
      </c>
      <c r="H11" s="158">
        <v>30</v>
      </c>
      <c r="I11" s="158"/>
      <c r="J11" s="158">
        <v>62</v>
      </c>
      <c r="K11" s="158">
        <v>82</v>
      </c>
      <c r="L11" s="158">
        <v>57</v>
      </c>
      <c r="M11" s="158">
        <v>68</v>
      </c>
      <c r="N11" s="158">
        <v>65</v>
      </c>
      <c r="O11" s="159">
        <v>103</v>
      </c>
      <c r="P11" s="13">
        <f t="shared" si="3"/>
        <v>650</v>
      </c>
      <c r="Q11" s="11">
        <f t="shared" si="4"/>
        <v>11</v>
      </c>
      <c r="R11" s="91">
        <f t="shared" si="5"/>
        <v>59.090909090909093</v>
      </c>
      <c r="S11" s="244">
        <f t="shared" si="6"/>
        <v>109.42760942760943</v>
      </c>
      <c r="T11" s="67">
        <v>54</v>
      </c>
      <c r="U11" s="157">
        <v>56</v>
      </c>
      <c r="V11" s="158">
        <v>99</v>
      </c>
      <c r="W11" s="158">
        <v>75</v>
      </c>
      <c r="X11" s="158">
        <v>76</v>
      </c>
      <c r="Y11" s="158">
        <v>55</v>
      </c>
      <c r="Z11" s="158">
        <v>30</v>
      </c>
      <c r="AA11" s="158">
        <v>63</v>
      </c>
      <c r="AB11" s="158"/>
      <c r="AC11" s="158"/>
      <c r="AD11" s="158"/>
      <c r="AE11" s="158"/>
      <c r="AF11" s="158"/>
      <c r="AG11" s="159"/>
      <c r="AH11" s="13">
        <f t="shared" si="7"/>
        <v>454</v>
      </c>
      <c r="AI11" s="11">
        <f t="shared" si="8"/>
        <v>7</v>
      </c>
      <c r="AJ11" s="12">
        <f t="shared" si="9"/>
        <v>64.857142857142861</v>
      </c>
      <c r="AK11" s="74"/>
      <c r="AL11" s="119">
        <f t="shared" si="10"/>
        <v>1104</v>
      </c>
      <c r="AM11" s="91">
        <f t="shared" si="11"/>
        <v>18</v>
      </c>
      <c r="AN11" s="91">
        <f t="shared" si="12"/>
        <v>61.333333333333336</v>
      </c>
      <c r="AO11" s="244">
        <f t="shared" si="13"/>
        <v>113.58024691358024</v>
      </c>
      <c r="AP11" s="248">
        <f t="shared" si="14"/>
        <v>113.58024691358024</v>
      </c>
    </row>
    <row r="12" spans="1:48" s="10" customFormat="1" ht="20.100000000000001" customHeight="1">
      <c r="A12" s="26" t="s">
        <v>117</v>
      </c>
      <c r="B12" s="67">
        <v>37</v>
      </c>
      <c r="C12" s="157">
        <v>38</v>
      </c>
      <c r="D12" s="158"/>
      <c r="E12" s="158">
        <v>35</v>
      </c>
      <c r="F12" s="158">
        <v>26</v>
      </c>
      <c r="G12" s="158">
        <v>30</v>
      </c>
      <c r="H12" s="158"/>
      <c r="I12" s="158">
        <v>27</v>
      </c>
      <c r="J12" s="158"/>
      <c r="K12" s="158">
        <v>34</v>
      </c>
      <c r="L12" s="158">
        <v>37</v>
      </c>
      <c r="M12" s="158">
        <v>48</v>
      </c>
      <c r="N12" s="158">
        <v>43</v>
      </c>
      <c r="O12" s="159">
        <v>41</v>
      </c>
      <c r="P12" s="13">
        <f t="shared" si="3"/>
        <v>359</v>
      </c>
      <c r="Q12" s="11">
        <f t="shared" si="4"/>
        <v>10</v>
      </c>
      <c r="R12" s="91">
        <f t="shared" si="5"/>
        <v>35.9</v>
      </c>
      <c r="S12" s="244">
        <f t="shared" si="6"/>
        <v>97.027027027027017</v>
      </c>
      <c r="T12" s="67">
        <v>37</v>
      </c>
      <c r="U12" s="157"/>
      <c r="V12" s="158">
        <v>47</v>
      </c>
      <c r="W12" s="158">
        <v>30</v>
      </c>
      <c r="X12" s="158">
        <v>27</v>
      </c>
      <c r="Y12" s="158"/>
      <c r="Z12" s="158">
        <v>31</v>
      </c>
      <c r="AA12" s="158">
        <v>43</v>
      </c>
      <c r="AB12" s="158"/>
      <c r="AC12" s="158"/>
      <c r="AD12" s="158"/>
      <c r="AE12" s="158"/>
      <c r="AF12" s="158"/>
      <c r="AG12" s="159"/>
      <c r="AH12" s="13">
        <f t="shared" si="7"/>
        <v>178</v>
      </c>
      <c r="AI12" s="11">
        <f t="shared" si="8"/>
        <v>5</v>
      </c>
      <c r="AJ12" s="12">
        <f t="shared" si="9"/>
        <v>35.6</v>
      </c>
      <c r="AK12" s="74"/>
      <c r="AL12" s="119">
        <f t="shared" si="10"/>
        <v>537</v>
      </c>
      <c r="AM12" s="91">
        <f t="shared" si="11"/>
        <v>15</v>
      </c>
      <c r="AN12" s="91">
        <f t="shared" si="12"/>
        <v>35.799999999999997</v>
      </c>
      <c r="AO12" s="244">
        <f t="shared" si="13"/>
        <v>96.756756756756758</v>
      </c>
      <c r="AP12" s="248">
        <f t="shared" si="14"/>
        <v>96.756756756756758</v>
      </c>
    </row>
    <row r="13" spans="1:48" s="10" customFormat="1" ht="20.100000000000001" customHeight="1">
      <c r="A13" s="26">
        <v>0</v>
      </c>
      <c r="B13" s="67">
        <v>0</v>
      </c>
      <c r="C13" s="157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9"/>
      <c r="P13" s="13">
        <f t="shared" si="3"/>
        <v>0</v>
      </c>
      <c r="Q13" s="11">
        <f t="shared" si="4"/>
        <v>0</v>
      </c>
      <c r="R13" s="91" t="str">
        <f t="shared" si="5"/>
        <v xml:space="preserve"> </v>
      </c>
      <c r="S13" s="244" t="str">
        <f t="shared" si="6"/>
        <v xml:space="preserve"> </v>
      </c>
      <c r="T13" s="67">
        <v>0</v>
      </c>
      <c r="U13" s="157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4"/>
      <c r="AL13" s="119">
        <f t="shared" si="10"/>
        <v>0</v>
      </c>
      <c r="AM13" s="91">
        <f t="shared" si="11"/>
        <v>0</v>
      </c>
      <c r="AN13" s="91" t="str">
        <f t="shared" si="12"/>
        <v xml:space="preserve"> </v>
      </c>
      <c r="AO13" s="244" t="str">
        <f t="shared" si="13"/>
        <v xml:space="preserve"> </v>
      </c>
      <c r="AP13" s="248" t="str">
        <f t="shared" si="14"/>
        <v>0</v>
      </c>
    </row>
    <row r="14" spans="1:48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4" t="str">
        <f t="shared" si="6"/>
        <v xml:space="preserve"> 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4" t="str">
        <f t="shared" si="13"/>
        <v xml:space="preserve"> </v>
      </c>
      <c r="AP14" s="248" t="str">
        <f t="shared" si="14"/>
        <v>0</v>
      </c>
    </row>
    <row r="15" spans="1:48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4" t="str">
        <f t="shared" si="6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4" t="str">
        <f t="shared" si="13"/>
        <v xml:space="preserve"> </v>
      </c>
      <c r="AP15" s="248" t="str">
        <f t="shared" si="14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7"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ref="T17:T18" si="15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53">
        <f>COUNT(B1:B18)</f>
        <v>15</v>
      </c>
      <c r="B19" s="174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3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194</v>
      </c>
      <c r="Z19" s="19">
        <f t="shared" si="17"/>
        <v>176</v>
      </c>
      <c r="AA19" s="19">
        <f t="shared" si="17"/>
        <v>254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1731</v>
      </c>
      <c r="AI19" s="18">
        <f>SUM(AI4:AI18)</f>
        <v>42</v>
      </c>
      <c r="AJ19" s="23">
        <f>AH19/AI19</f>
        <v>41.214285714285715</v>
      </c>
      <c r="AK19" s="75"/>
      <c r="AL19" s="24">
        <f>SUM(AL4:AL18)</f>
        <v>4803</v>
      </c>
      <c r="AM19" s="18">
        <f>SUM(AM4:AM18)</f>
        <v>120</v>
      </c>
      <c r="AN19" s="18">
        <f t="shared" ref="AN19" si="19">AL19/AM19</f>
        <v>40.024999999999999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V19"/>
  <sheetViews>
    <sheetView showGridLines="0" showRowColHeaders="0" zoomScale="80" zoomScaleNormal="80" workbookViewId="0">
      <pane xSplit="1" ySplit="19" topLeftCell="B20" activePane="bottomRight" state="frozen"/>
      <selection activeCell="A12" sqref="A12"/>
      <selection pane="topRight" activeCell="A12" sqref="A12"/>
      <selection pane="bottomLeft" activeCell="A12" sqref="A12"/>
      <selection pane="bottomRight" activeCell="A12" sqref="A12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331</v>
      </c>
      <c r="B2" s="333" t="s">
        <v>42</v>
      </c>
      <c r="C2" s="335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118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34"/>
      <c r="C3" s="6">
        <v>1</v>
      </c>
      <c r="D3" s="2">
        <v>2</v>
      </c>
      <c r="E3" s="2">
        <v>3</v>
      </c>
      <c r="F3" s="229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119</v>
      </c>
      <c r="B4" s="131">
        <v>31</v>
      </c>
      <c r="C4" s="154"/>
      <c r="D4" s="155">
        <v>37</v>
      </c>
      <c r="E4" s="155">
        <v>35</v>
      </c>
      <c r="F4" s="155">
        <v>31</v>
      </c>
      <c r="G4" s="155">
        <v>34</v>
      </c>
      <c r="H4" s="155">
        <v>36</v>
      </c>
      <c r="I4" s="155">
        <v>23</v>
      </c>
      <c r="J4" s="155">
        <v>30</v>
      </c>
      <c r="K4" s="155">
        <v>33</v>
      </c>
      <c r="L4" s="233">
        <v>38</v>
      </c>
      <c r="M4" s="155">
        <v>34</v>
      </c>
      <c r="N4" s="155">
        <v>23</v>
      </c>
      <c r="O4" s="156">
        <v>27</v>
      </c>
      <c r="P4" s="9">
        <f>SUM(C4:O4)</f>
        <v>381</v>
      </c>
      <c r="Q4" s="8">
        <f>COUNTIF(C4:O4,"&gt;0")</f>
        <v>12</v>
      </c>
      <c r="R4" s="118">
        <f>IF(P4=0," ",P4/Q4)</f>
        <v>31.75</v>
      </c>
      <c r="S4" s="243">
        <f>IF(P4=0," ",P4/(Q4*B4)*100)</f>
        <v>102.41935483870968</v>
      </c>
      <c r="T4" s="67">
        <v>31</v>
      </c>
      <c r="U4" s="154">
        <v>22</v>
      </c>
      <c r="V4" s="155">
        <v>27</v>
      </c>
      <c r="W4" s="155"/>
      <c r="X4" s="155">
        <v>50</v>
      </c>
      <c r="Y4" s="155"/>
      <c r="Z4" s="155">
        <v>22</v>
      </c>
      <c r="AA4" s="155">
        <v>34</v>
      </c>
      <c r="AB4" s="155"/>
      <c r="AC4" s="155"/>
      <c r="AD4" s="155"/>
      <c r="AE4" s="155"/>
      <c r="AF4" s="155"/>
      <c r="AG4" s="156"/>
      <c r="AH4" s="9">
        <f>SUM(U4:AG4)</f>
        <v>155</v>
      </c>
      <c r="AI4" s="8">
        <f>COUNTIF(U4:AG4,"&gt;0")</f>
        <v>5</v>
      </c>
      <c r="AJ4" s="90">
        <f>IF(AH4=0," ",AH4/AI4)</f>
        <v>31</v>
      </c>
      <c r="AK4" s="74"/>
      <c r="AL4" s="117">
        <f t="shared" ref="AL4" si="0">P4+AH4</f>
        <v>536</v>
      </c>
      <c r="AM4" s="118">
        <f t="shared" ref="AM4" si="1">Q4+AI4</f>
        <v>17</v>
      </c>
      <c r="AN4" s="118">
        <f>IF(AL4=0," ",AL4/AM4)</f>
        <v>31.529411764705884</v>
      </c>
      <c r="AO4" s="243">
        <f>IF(AL4=0," ",AL4/(AM4*T4)*100)</f>
        <v>101.707779886148</v>
      </c>
      <c r="AP4" s="248">
        <f>IF($AM4&gt;=$AP$1,$AL4/($AM4*$T4)*100,"0")</f>
        <v>101.707779886148</v>
      </c>
    </row>
    <row r="5" spans="1:48" s="10" customFormat="1" ht="20.100000000000001" customHeight="1">
      <c r="A5" s="26" t="s">
        <v>120</v>
      </c>
      <c r="B5" s="67">
        <v>24</v>
      </c>
      <c r="C5" s="157">
        <v>33</v>
      </c>
      <c r="D5" s="158"/>
      <c r="E5" s="158">
        <v>10</v>
      </c>
      <c r="F5" s="158">
        <v>21</v>
      </c>
      <c r="G5" s="158">
        <v>21</v>
      </c>
      <c r="H5" s="158"/>
      <c r="I5" s="158"/>
      <c r="J5" s="158">
        <v>18</v>
      </c>
      <c r="K5" s="158">
        <v>28</v>
      </c>
      <c r="L5" s="232">
        <v>17</v>
      </c>
      <c r="M5" s="158">
        <v>14</v>
      </c>
      <c r="N5" s="158"/>
      <c r="O5" s="159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1">
        <f t="shared" ref="R5:R18" si="4">IF(P5=0," ",P5/Q5)</f>
        <v>19.444444444444443</v>
      </c>
      <c r="S5" s="244">
        <f t="shared" ref="S5:S18" si="5">IF(P5=0," ",P5/(Q5*B5)*100)</f>
        <v>81.018518518518519</v>
      </c>
      <c r="T5" s="67">
        <v>24</v>
      </c>
      <c r="U5" s="157"/>
      <c r="V5" s="158">
        <v>21</v>
      </c>
      <c r="W5" s="158">
        <v>31</v>
      </c>
      <c r="X5" s="158"/>
      <c r="Y5" s="158"/>
      <c r="Z5" s="158"/>
      <c r="AA5" s="158">
        <v>27</v>
      </c>
      <c r="AB5" s="158"/>
      <c r="AC5" s="158"/>
      <c r="AD5" s="158"/>
      <c r="AE5" s="158"/>
      <c r="AF5" s="158"/>
      <c r="AG5" s="159"/>
      <c r="AH5" s="13">
        <f t="shared" ref="AH5:AH18" si="6">SUM(U5:AG5)</f>
        <v>79</v>
      </c>
      <c r="AI5" s="11">
        <f t="shared" ref="AI5:AI18" si="7">COUNTIF(U5:AG5,"&gt;0")</f>
        <v>3</v>
      </c>
      <c r="AJ5" s="12">
        <f t="shared" ref="AJ5:AJ18" si="8">IF(AH5=0," ",AH5/AI5)</f>
        <v>26.333333333333332</v>
      </c>
      <c r="AK5" s="74"/>
      <c r="AL5" s="119">
        <f t="shared" ref="AL5:AL18" si="9">P5+AH5</f>
        <v>254</v>
      </c>
      <c r="AM5" s="91">
        <f t="shared" ref="AM5:AM18" si="10">Q5+AI5</f>
        <v>12</v>
      </c>
      <c r="AN5" s="91">
        <f t="shared" ref="AN5:AN18" si="11">IF(AL5=0," ",AL5/AM5)</f>
        <v>21.166666666666668</v>
      </c>
      <c r="AO5" s="244">
        <f t="shared" ref="AO5:AO18" si="12">IF(AL5=0," ",AL5/(AM5*T5)*100)</f>
        <v>88.194444444444443</v>
      </c>
      <c r="AP5" s="248">
        <f t="shared" ref="AP5:AP18" si="13">IF($AM5&gt;=$AP$1,$AL5/($AM5*$T5)*100,"0")</f>
        <v>88.194444444444443</v>
      </c>
    </row>
    <row r="6" spans="1:48" s="10" customFormat="1" ht="20.100000000000001" customHeight="1">
      <c r="A6" s="26" t="s">
        <v>121</v>
      </c>
      <c r="B6" s="67">
        <v>68</v>
      </c>
      <c r="C6" s="157">
        <v>56</v>
      </c>
      <c r="D6" s="158">
        <v>133</v>
      </c>
      <c r="E6" s="158">
        <v>44</v>
      </c>
      <c r="F6" s="158">
        <v>56</v>
      </c>
      <c r="G6" s="158">
        <v>57</v>
      </c>
      <c r="H6" s="158">
        <v>67</v>
      </c>
      <c r="I6" s="158">
        <v>54</v>
      </c>
      <c r="J6" s="158">
        <v>87</v>
      </c>
      <c r="K6" s="158">
        <v>64</v>
      </c>
      <c r="L6" s="158"/>
      <c r="M6" s="158">
        <v>88</v>
      </c>
      <c r="N6" s="158">
        <v>86</v>
      </c>
      <c r="O6" s="159">
        <v>105</v>
      </c>
      <c r="P6" s="13">
        <f t="shared" si="2"/>
        <v>897</v>
      </c>
      <c r="Q6" s="11">
        <f t="shared" si="3"/>
        <v>12</v>
      </c>
      <c r="R6" s="91">
        <f t="shared" si="4"/>
        <v>74.75</v>
      </c>
      <c r="S6" s="244">
        <f t="shared" si="5"/>
        <v>109.9264705882353</v>
      </c>
      <c r="T6" s="67">
        <v>68</v>
      </c>
      <c r="U6" s="157">
        <v>85</v>
      </c>
      <c r="V6" s="158">
        <v>93</v>
      </c>
      <c r="W6" s="158">
        <v>66</v>
      </c>
      <c r="X6" s="158">
        <v>34</v>
      </c>
      <c r="Y6" s="158">
        <v>58</v>
      </c>
      <c r="Z6" s="158">
        <v>45</v>
      </c>
      <c r="AA6" s="158">
        <v>78</v>
      </c>
      <c r="AB6" s="158"/>
      <c r="AC6" s="158"/>
      <c r="AD6" s="158"/>
      <c r="AE6" s="158"/>
      <c r="AF6" s="158"/>
      <c r="AG6" s="159"/>
      <c r="AH6" s="13">
        <f t="shared" si="6"/>
        <v>459</v>
      </c>
      <c r="AI6" s="11">
        <f t="shared" si="7"/>
        <v>7</v>
      </c>
      <c r="AJ6" s="12">
        <f t="shared" si="8"/>
        <v>65.571428571428569</v>
      </c>
      <c r="AK6" s="74"/>
      <c r="AL6" s="119">
        <f t="shared" si="9"/>
        <v>1356</v>
      </c>
      <c r="AM6" s="91">
        <f t="shared" si="10"/>
        <v>19</v>
      </c>
      <c r="AN6" s="91">
        <f t="shared" si="11"/>
        <v>71.368421052631575</v>
      </c>
      <c r="AO6" s="244">
        <f t="shared" si="12"/>
        <v>104.95356037151701</v>
      </c>
      <c r="AP6" s="248">
        <f t="shared" si="13"/>
        <v>104.95356037151701</v>
      </c>
    </row>
    <row r="7" spans="1:48" s="10" customFormat="1" ht="20.100000000000001" customHeight="1">
      <c r="A7" s="66" t="s">
        <v>122</v>
      </c>
      <c r="B7" s="67">
        <v>35</v>
      </c>
      <c r="C7" s="157">
        <v>41</v>
      </c>
      <c r="D7" s="158">
        <v>43</v>
      </c>
      <c r="E7" s="158">
        <v>38</v>
      </c>
      <c r="F7" s="158"/>
      <c r="G7" s="158"/>
      <c r="H7" s="158"/>
      <c r="I7" s="158"/>
      <c r="J7" s="158"/>
      <c r="K7" s="158"/>
      <c r="L7" s="158"/>
      <c r="M7" s="158">
        <v>34</v>
      </c>
      <c r="N7" s="158">
        <v>22</v>
      </c>
      <c r="O7" s="159">
        <v>35</v>
      </c>
      <c r="P7" s="13">
        <f t="shared" si="2"/>
        <v>213</v>
      </c>
      <c r="Q7" s="11">
        <f t="shared" si="3"/>
        <v>6</v>
      </c>
      <c r="R7" s="91">
        <f t="shared" si="4"/>
        <v>35.5</v>
      </c>
      <c r="S7" s="244">
        <f t="shared" si="5"/>
        <v>101.42857142857142</v>
      </c>
      <c r="T7" s="67">
        <v>35</v>
      </c>
      <c r="U7" s="157">
        <v>48</v>
      </c>
      <c r="V7" s="158">
        <v>21</v>
      </c>
      <c r="W7" s="158">
        <v>30</v>
      </c>
      <c r="X7" s="158"/>
      <c r="Y7" s="158">
        <v>31</v>
      </c>
      <c r="Z7" s="158">
        <v>15</v>
      </c>
      <c r="AA7" s="158">
        <v>15</v>
      </c>
      <c r="AB7" s="158"/>
      <c r="AC7" s="158"/>
      <c r="AD7" s="158"/>
      <c r="AE7" s="158"/>
      <c r="AF7" s="158"/>
      <c r="AG7" s="159"/>
      <c r="AH7" s="13">
        <f t="shared" si="6"/>
        <v>160</v>
      </c>
      <c r="AI7" s="11">
        <f t="shared" si="7"/>
        <v>6</v>
      </c>
      <c r="AJ7" s="12">
        <f t="shared" si="8"/>
        <v>26.666666666666668</v>
      </c>
      <c r="AK7" s="74"/>
      <c r="AL7" s="119">
        <f t="shared" si="9"/>
        <v>373</v>
      </c>
      <c r="AM7" s="91">
        <f t="shared" si="10"/>
        <v>12</v>
      </c>
      <c r="AN7" s="91">
        <f t="shared" si="11"/>
        <v>31.083333333333332</v>
      </c>
      <c r="AO7" s="244">
        <f t="shared" si="12"/>
        <v>88.80952380952381</v>
      </c>
      <c r="AP7" s="248">
        <f t="shared" si="13"/>
        <v>88.80952380952381</v>
      </c>
    </row>
    <row r="8" spans="1:48" s="10" customFormat="1" ht="20.100000000000001" customHeight="1">
      <c r="A8" s="26" t="s">
        <v>123</v>
      </c>
      <c r="B8" s="67">
        <v>35</v>
      </c>
      <c r="C8" s="157">
        <v>35</v>
      </c>
      <c r="D8" s="158">
        <v>22</v>
      </c>
      <c r="E8" s="158"/>
      <c r="F8" s="158"/>
      <c r="G8" s="158"/>
      <c r="H8" s="158"/>
      <c r="I8" s="158">
        <v>35</v>
      </c>
      <c r="J8" s="232">
        <v>17</v>
      </c>
      <c r="K8" s="158">
        <v>46</v>
      </c>
      <c r="L8" s="232">
        <v>45</v>
      </c>
      <c r="M8" s="158"/>
      <c r="N8" s="158">
        <v>25</v>
      </c>
      <c r="O8" s="159">
        <v>23</v>
      </c>
      <c r="P8" s="13">
        <f t="shared" si="2"/>
        <v>248</v>
      </c>
      <c r="Q8" s="11">
        <f t="shared" si="3"/>
        <v>8</v>
      </c>
      <c r="R8" s="91">
        <f t="shared" si="4"/>
        <v>31</v>
      </c>
      <c r="S8" s="244">
        <f t="shared" si="5"/>
        <v>88.571428571428569</v>
      </c>
      <c r="T8" s="67">
        <v>35</v>
      </c>
      <c r="U8" s="157">
        <v>55</v>
      </c>
      <c r="V8" s="158"/>
      <c r="W8" s="158">
        <v>35</v>
      </c>
      <c r="X8" s="158">
        <v>31</v>
      </c>
      <c r="Y8" s="158"/>
      <c r="Z8" s="158">
        <v>34</v>
      </c>
      <c r="AA8" s="158"/>
      <c r="AB8" s="158"/>
      <c r="AC8" s="158"/>
      <c r="AD8" s="158"/>
      <c r="AE8" s="158"/>
      <c r="AF8" s="158"/>
      <c r="AG8" s="159"/>
      <c r="AH8" s="13">
        <f t="shared" si="6"/>
        <v>155</v>
      </c>
      <c r="AI8" s="11">
        <f t="shared" si="7"/>
        <v>4</v>
      </c>
      <c r="AJ8" s="12">
        <f t="shared" si="8"/>
        <v>38.75</v>
      </c>
      <c r="AK8" s="74"/>
      <c r="AL8" s="119">
        <f t="shared" si="9"/>
        <v>403</v>
      </c>
      <c r="AM8" s="91">
        <f t="shared" si="10"/>
        <v>12</v>
      </c>
      <c r="AN8" s="91">
        <f t="shared" si="11"/>
        <v>33.583333333333336</v>
      </c>
      <c r="AO8" s="244">
        <f t="shared" si="12"/>
        <v>95.952380952380949</v>
      </c>
      <c r="AP8" s="248">
        <f t="shared" si="13"/>
        <v>95.952380952380949</v>
      </c>
    </row>
    <row r="9" spans="1:48" s="10" customFormat="1" ht="20.100000000000001" customHeight="1">
      <c r="A9" s="26" t="s">
        <v>356</v>
      </c>
      <c r="B9" s="126">
        <v>20</v>
      </c>
      <c r="C9" s="157"/>
      <c r="D9" s="158"/>
      <c r="E9" s="158">
        <v>24</v>
      </c>
      <c r="F9" s="158">
        <v>22</v>
      </c>
      <c r="G9" s="158"/>
      <c r="H9" s="158">
        <v>13</v>
      </c>
      <c r="I9" s="158">
        <v>22</v>
      </c>
      <c r="J9" s="158"/>
      <c r="K9" s="158"/>
      <c r="L9" s="158"/>
      <c r="M9" s="158"/>
      <c r="N9" s="158"/>
      <c r="O9" s="159"/>
      <c r="P9" s="13">
        <f t="shared" si="2"/>
        <v>81</v>
      </c>
      <c r="Q9" s="11">
        <f t="shared" si="3"/>
        <v>4</v>
      </c>
      <c r="R9" s="91">
        <f t="shared" si="4"/>
        <v>20.25</v>
      </c>
      <c r="S9" s="244">
        <f t="shared" si="5"/>
        <v>101.25</v>
      </c>
      <c r="T9" s="235">
        <v>20</v>
      </c>
      <c r="U9" s="157">
        <v>5</v>
      </c>
      <c r="V9" s="158"/>
      <c r="W9" s="158"/>
      <c r="X9" s="158">
        <v>16</v>
      </c>
      <c r="Y9" s="158">
        <v>24</v>
      </c>
      <c r="Z9" s="158"/>
      <c r="AA9" s="158">
        <v>15</v>
      </c>
      <c r="AB9" s="158"/>
      <c r="AC9" s="158"/>
      <c r="AD9" s="158"/>
      <c r="AE9" s="158"/>
      <c r="AF9" s="158"/>
      <c r="AG9" s="159"/>
      <c r="AH9" s="13">
        <f t="shared" si="6"/>
        <v>60</v>
      </c>
      <c r="AI9" s="11">
        <f t="shared" si="7"/>
        <v>4</v>
      </c>
      <c r="AJ9" s="12">
        <f t="shared" si="8"/>
        <v>15</v>
      </c>
      <c r="AK9" s="74"/>
      <c r="AL9" s="119">
        <f t="shared" si="9"/>
        <v>141</v>
      </c>
      <c r="AM9" s="91">
        <f t="shared" si="10"/>
        <v>8</v>
      </c>
      <c r="AN9" s="91">
        <f t="shared" si="11"/>
        <v>17.625</v>
      </c>
      <c r="AO9" s="244">
        <f t="shared" si="12"/>
        <v>88.125</v>
      </c>
      <c r="AP9" s="248">
        <f t="shared" si="13"/>
        <v>88.125</v>
      </c>
      <c r="AV9" s="303"/>
    </row>
    <row r="10" spans="1:48" s="10" customFormat="1" ht="20.100000000000001" customHeight="1">
      <c r="A10" s="26" t="s">
        <v>357</v>
      </c>
      <c r="B10" s="67">
        <v>15</v>
      </c>
      <c r="C10" s="157">
        <v>17</v>
      </c>
      <c r="D10" s="158">
        <v>17</v>
      </c>
      <c r="E10" s="158"/>
      <c r="F10" s="158">
        <v>21</v>
      </c>
      <c r="G10" s="158">
        <v>9</v>
      </c>
      <c r="H10" s="158">
        <v>21</v>
      </c>
      <c r="I10" s="158"/>
      <c r="J10" s="158">
        <v>9</v>
      </c>
      <c r="K10" s="158">
        <v>17</v>
      </c>
      <c r="L10" s="232">
        <v>26</v>
      </c>
      <c r="M10" s="158">
        <v>10</v>
      </c>
      <c r="N10" s="158">
        <v>11</v>
      </c>
      <c r="O10" s="159">
        <v>15</v>
      </c>
      <c r="P10" s="13">
        <f t="shared" si="2"/>
        <v>173</v>
      </c>
      <c r="Q10" s="11">
        <f t="shared" si="3"/>
        <v>11</v>
      </c>
      <c r="R10" s="91">
        <f t="shared" si="4"/>
        <v>15.727272727272727</v>
      </c>
      <c r="S10" s="244">
        <f t="shared" si="5"/>
        <v>104.84848484848486</v>
      </c>
      <c r="T10" s="67">
        <v>15</v>
      </c>
      <c r="U10" s="157"/>
      <c r="V10" s="158"/>
      <c r="W10" s="158"/>
      <c r="X10" s="158">
        <v>12</v>
      </c>
      <c r="Y10" s="158">
        <v>9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21</v>
      </c>
      <c r="AI10" s="11">
        <f t="shared" si="7"/>
        <v>2</v>
      </c>
      <c r="AJ10" s="12">
        <f t="shared" si="8"/>
        <v>10.5</v>
      </c>
      <c r="AK10" s="74"/>
      <c r="AL10" s="119">
        <f t="shared" si="9"/>
        <v>194</v>
      </c>
      <c r="AM10" s="91">
        <f t="shared" si="10"/>
        <v>13</v>
      </c>
      <c r="AN10" s="91">
        <f t="shared" si="11"/>
        <v>14.923076923076923</v>
      </c>
      <c r="AO10" s="244">
        <f t="shared" si="12"/>
        <v>99.487179487179489</v>
      </c>
      <c r="AP10" s="248">
        <f t="shared" si="13"/>
        <v>99.487179487179489</v>
      </c>
    </row>
    <row r="11" spans="1:48" s="10" customFormat="1" ht="20.100000000000001" customHeight="1">
      <c r="A11" s="26" t="s">
        <v>124</v>
      </c>
      <c r="B11" s="67">
        <v>21</v>
      </c>
      <c r="C11" s="157"/>
      <c r="D11" s="158"/>
      <c r="E11" s="158"/>
      <c r="F11" s="158"/>
      <c r="G11" s="158">
        <v>20</v>
      </c>
      <c r="H11" s="158"/>
      <c r="I11" s="158"/>
      <c r="J11" s="158">
        <v>20</v>
      </c>
      <c r="K11" s="158"/>
      <c r="L11" s="158"/>
      <c r="M11" s="158"/>
      <c r="N11" s="158"/>
      <c r="O11" s="159"/>
      <c r="P11" s="13">
        <f t="shared" si="2"/>
        <v>40</v>
      </c>
      <c r="Q11" s="11">
        <f t="shared" si="3"/>
        <v>2</v>
      </c>
      <c r="R11" s="91">
        <f t="shared" si="4"/>
        <v>20</v>
      </c>
      <c r="S11" s="244">
        <f t="shared" si="5"/>
        <v>95.238095238095227</v>
      </c>
      <c r="T11" s="67">
        <v>21</v>
      </c>
      <c r="U11" s="157"/>
      <c r="V11" s="158"/>
      <c r="W11" s="158"/>
      <c r="X11" s="158"/>
      <c r="Y11" s="158">
        <v>24</v>
      </c>
      <c r="Z11" s="158"/>
      <c r="AA11" s="158">
        <v>33</v>
      </c>
      <c r="AB11" s="158"/>
      <c r="AC11" s="158"/>
      <c r="AD11" s="158"/>
      <c r="AE11" s="158"/>
      <c r="AF11" s="158"/>
      <c r="AG11" s="159"/>
      <c r="AH11" s="13">
        <f t="shared" si="6"/>
        <v>57</v>
      </c>
      <c r="AI11" s="11">
        <f t="shared" si="7"/>
        <v>2</v>
      </c>
      <c r="AJ11" s="12">
        <f t="shared" si="8"/>
        <v>28.5</v>
      </c>
      <c r="AK11" s="74"/>
      <c r="AL11" s="119">
        <f t="shared" si="9"/>
        <v>97</v>
      </c>
      <c r="AM11" s="91">
        <f t="shared" si="10"/>
        <v>4</v>
      </c>
      <c r="AN11" s="91">
        <f t="shared" si="11"/>
        <v>24.25</v>
      </c>
      <c r="AO11" s="244">
        <f t="shared" si="12"/>
        <v>115.47619047619047</v>
      </c>
      <c r="AP11" s="248" t="str">
        <f t="shared" si="13"/>
        <v>0</v>
      </c>
    </row>
    <row r="12" spans="1:48" s="10" customFormat="1" ht="20.100000000000001" customHeight="1">
      <c r="A12" s="26" t="s">
        <v>125</v>
      </c>
      <c r="B12" s="67">
        <v>19</v>
      </c>
      <c r="C12" s="157"/>
      <c r="D12" s="158">
        <v>18</v>
      </c>
      <c r="E12" s="158">
        <v>15</v>
      </c>
      <c r="F12" s="158"/>
      <c r="G12" s="158"/>
      <c r="H12" s="158">
        <v>24</v>
      </c>
      <c r="I12" s="158">
        <v>16</v>
      </c>
      <c r="J12" s="158">
        <v>15</v>
      </c>
      <c r="K12" s="158"/>
      <c r="L12" s="158"/>
      <c r="M12" s="158"/>
      <c r="N12" s="158">
        <v>10</v>
      </c>
      <c r="O12" s="159"/>
      <c r="P12" s="13">
        <f t="shared" si="2"/>
        <v>98</v>
      </c>
      <c r="Q12" s="11">
        <f t="shared" si="3"/>
        <v>6</v>
      </c>
      <c r="R12" s="91">
        <f t="shared" si="4"/>
        <v>16.333333333333332</v>
      </c>
      <c r="S12" s="244">
        <f t="shared" si="5"/>
        <v>85.964912280701753</v>
      </c>
      <c r="T12" s="67">
        <v>19</v>
      </c>
      <c r="U12" s="157"/>
      <c r="V12" s="158">
        <v>17</v>
      </c>
      <c r="W12" s="158">
        <v>24</v>
      </c>
      <c r="X12" s="158"/>
      <c r="Y12" s="158">
        <v>16</v>
      </c>
      <c r="Z12" s="158">
        <v>25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82</v>
      </c>
      <c r="AI12" s="11">
        <f t="shared" si="7"/>
        <v>4</v>
      </c>
      <c r="AJ12" s="12">
        <f t="shared" si="8"/>
        <v>20.5</v>
      </c>
      <c r="AK12" s="74"/>
      <c r="AL12" s="119">
        <f t="shared" si="9"/>
        <v>180</v>
      </c>
      <c r="AM12" s="91">
        <f t="shared" si="10"/>
        <v>10</v>
      </c>
      <c r="AN12" s="91">
        <f t="shared" si="11"/>
        <v>18</v>
      </c>
      <c r="AO12" s="244">
        <f t="shared" si="12"/>
        <v>94.73684210526315</v>
      </c>
      <c r="AP12" s="248">
        <f t="shared" si="13"/>
        <v>94.73684210526315</v>
      </c>
    </row>
    <row r="13" spans="1:48" s="10" customFormat="1" ht="20.100000000000001" customHeight="1">
      <c r="A13" s="26" t="s">
        <v>126</v>
      </c>
      <c r="B13" s="67">
        <v>23</v>
      </c>
      <c r="C13" s="157">
        <v>31</v>
      </c>
      <c r="D13" s="158"/>
      <c r="E13" s="158"/>
      <c r="F13" s="158">
        <v>28</v>
      </c>
      <c r="G13" s="158">
        <v>22</v>
      </c>
      <c r="H13" s="158">
        <v>20</v>
      </c>
      <c r="I13" s="158">
        <v>14</v>
      </c>
      <c r="J13" s="158"/>
      <c r="K13" s="158">
        <v>22</v>
      </c>
      <c r="L13" s="232">
        <v>20</v>
      </c>
      <c r="M13" s="158">
        <v>26</v>
      </c>
      <c r="N13" s="158"/>
      <c r="O13" s="159"/>
      <c r="P13" s="13">
        <f t="shared" si="2"/>
        <v>183</v>
      </c>
      <c r="Q13" s="11">
        <f t="shared" si="3"/>
        <v>8</v>
      </c>
      <c r="R13" s="91">
        <f t="shared" si="4"/>
        <v>22.875</v>
      </c>
      <c r="S13" s="244">
        <f t="shared" si="5"/>
        <v>99.456521739130437</v>
      </c>
      <c r="T13" s="67">
        <v>23</v>
      </c>
      <c r="U13" s="157">
        <v>28</v>
      </c>
      <c r="V13" s="158">
        <v>24</v>
      </c>
      <c r="W13" s="158">
        <v>24</v>
      </c>
      <c r="X13" s="158">
        <v>25</v>
      </c>
      <c r="Y13" s="158"/>
      <c r="Z13" s="158">
        <v>24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125</v>
      </c>
      <c r="AI13" s="11">
        <f t="shared" si="7"/>
        <v>5</v>
      </c>
      <c r="AJ13" s="12">
        <f t="shared" si="8"/>
        <v>25</v>
      </c>
      <c r="AK13" s="74"/>
      <c r="AL13" s="119">
        <f t="shared" si="9"/>
        <v>308</v>
      </c>
      <c r="AM13" s="91">
        <f t="shared" si="10"/>
        <v>13</v>
      </c>
      <c r="AN13" s="91">
        <f t="shared" si="11"/>
        <v>23.692307692307693</v>
      </c>
      <c r="AO13" s="244">
        <f t="shared" si="12"/>
        <v>103.01003344481605</v>
      </c>
      <c r="AP13" s="248">
        <f t="shared" si="13"/>
        <v>103.01003344481605</v>
      </c>
    </row>
    <row r="14" spans="1:48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4">
        <v>0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0</v>
      </c>
      <c r="AM14" s="91">
        <f t="shared" si="10"/>
        <v>0</v>
      </c>
      <c r="AN14" s="91" t="str">
        <f t="shared" si="11"/>
        <v xml:space="preserve"> </v>
      </c>
      <c r="AO14" s="244" t="str">
        <f t="shared" si="12"/>
        <v xml:space="preserve"> </v>
      </c>
      <c r="AP14" s="248" t="str">
        <f t="shared" si="13"/>
        <v>0</v>
      </c>
    </row>
    <row r="15" spans="1:48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>
        <v>0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4" t="str">
        <f t="shared" si="12"/>
        <v xml:space="preserve"> </v>
      </c>
      <c r="AP15" s="248" t="str">
        <f t="shared" si="13"/>
        <v>0</v>
      </c>
    </row>
    <row r="16" spans="1:48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>
        <v>0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>
        <v>0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3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162</v>
      </c>
      <c r="Z19" s="19">
        <f t="shared" si="17"/>
        <v>165</v>
      </c>
      <c r="AA19" s="19">
        <f t="shared" si="17"/>
        <v>202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1353</v>
      </c>
      <c r="AI19" s="18">
        <f>SUM(AI4:AI18)</f>
        <v>42</v>
      </c>
      <c r="AJ19" s="23">
        <f>AH19/AI19</f>
        <v>32.214285714285715</v>
      </c>
      <c r="AK19" s="75"/>
      <c r="AL19" s="24">
        <f>SUM(AL4:AL18)</f>
        <v>3842</v>
      </c>
      <c r="AM19" s="18">
        <f>SUM(AM4:AM18)</f>
        <v>120</v>
      </c>
      <c r="AN19" s="18">
        <f t="shared" ref="AN19" si="19">AL19/AM19</f>
        <v>32.016666666666666</v>
      </c>
      <c r="AO19" s="20"/>
      <c r="AP19" s="1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28</v>
      </c>
      <c r="B2" s="333" t="s">
        <v>42</v>
      </c>
      <c r="C2" s="335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128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129</v>
      </c>
      <c r="B4" s="131">
        <v>24</v>
      </c>
      <c r="C4" s="154">
        <v>28</v>
      </c>
      <c r="D4" s="155"/>
      <c r="E4" s="155">
        <v>33</v>
      </c>
      <c r="F4" s="155"/>
      <c r="G4" s="155"/>
      <c r="H4" s="155"/>
      <c r="I4" s="155">
        <v>16</v>
      </c>
      <c r="J4" s="155">
        <v>36</v>
      </c>
      <c r="K4" s="155">
        <v>40</v>
      </c>
      <c r="L4" s="155">
        <v>23</v>
      </c>
      <c r="M4" s="155">
        <v>34</v>
      </c>
      <c r="N4" s="155"/>
      <c r="O4" s="156"/>
      <c r="P4" s="9">
        <f>SUM(C4:O4)</f>
        <v>210</v>
      </c>
      <c r="Q4" s="8">
        <f>COUNTIF(C4:O4,"&gt;0")</f>
        <v>7</v>
      </c>
      <c r="R4" s="118">
        <f>IF(P4=0," ",P4/Q4)</f>
        <v>30</v>
      </c>
      <c r="S4" s="243">
        <f>IF(P4=0," ",P4/(Q4*B4)*100)</f>
        <v>125</v>
      </c>
      <c r="T4" s="67">
        <v>24</v>
      </c>
      <c r="U4" s="154"/>
      <c r="V4" s="155">
        <v>17</v>
      </c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17</v>
      </c>
      <c r="AI4" s="8">
        <f>COUNTIF(U4:AG4,"&gt;0")</f>
        <v>1</v>
      </c>
      <c r="AJ4" s="90">
        <f>IF(AH4=0," ",AH4/AI4)</f>
        <v>17</v>
      </c>
      <c r="AK4" s="74"/>
      <c r="AL4" s="117">
        <f t="shared" ref="AL4" si="0">P4+AH4</f>
        <v>227</v>
      </c>
      <c r="AM4" s="118">
        <f t="shared" ref="AM4" si="1">Q4+AI4</f>
        <v>8</v>
      </c>
      <c r="AN4" s="118">
        <f>IF(AL4=0," ",AL4/AM4)</f>
        <v>28.375</v>
      </c>
      <c r="AO4" s="243">
        <f>IF(AL4=0," ",AL4/(AM4*T4)*100)</f>
        <v>118.22916666666667</v>
      </c>
      <c r="AP4" s="248">
        <f>IF($AM4&gt;=$AP$1,$AL4/($AM4*$T4)*100,"0")</f>
        <v>118.22916666666667</v>
      </c>
    </row>
    <row r="5" spans="1:48" s="10" customFormat="1" ht="20.100000000000001" customHeight="1">
      <c r="A5" s="26" t="s">
        <v>130</v>
      </c>
      <c r="B5" s="67">
        <v>27</v>
      </c>
      <c r="C5" s="157">
        <v>22</v>
      </c>
      <c r="D5" s="158"/>
      <c r="E5" s="158">
        <v>29</v>
      </c>
      <c r="F5" s="158"/>
      <c r="G5" s="158"/>
      <c r="H5" s="158"/>
      <c r="I5" s="158"/>
      <c r="J5" s="158"/>
      <c r="K5" s="158">
        <v>34</v>
      </c>
      <c r="L5" s="158">
        <v>28</v>
      </c>
      <c r="M5" s="158"/>
      <c r="N5" s="158"/>
      <c r="O5" s="159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1">
        <f t="shared" ref="R5:R18" si="4">IF(P5=0," ",P5/Q5)</f>
        <v>31</v>
      </c>
      <c r="S5" s="244">
        <f t="shared" ref="S5:S18" si="5">IF(P5=0," ",P5/(Q5*B5)*100)</f>
        <v>114.81481481481481</v>
      </c>
      <c r="T5" s="67">
        <v>27</v>
      </c>
      <c r="U5" s="157"/>
      <c r="V5" s="158">
        <v>14</v>
      </c>
      <c r="W5" s="158"/>
      <c r="X5" s="158"/>
      <c r="Y5" s="158">
        <v>24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38</v>
      </c>
      <c r="AI5" s="11">
        <f t="shared" ref="AI5:AI18" si="7">COUNTIF(U5:AG5,"&gt;0")</f>
        <v>2</v>
      </c>
      <c r="AJ5" s="12">
        <f t="shared" ref="AJ5:AJ18" si="8">IF(AH5=0," ",AH5/AI5)</f>
        <v>19</v>
      </c>
      <c r="AK5" s="74"/>
      <c r="AL5" s="119">
        <f t="shared" ref="AL5:AL18" si="9">P5+AH5</f>
        <v>193</v>
      </c>
      <c r="AM5" s="91">
        <f t="shared" ref="AM5:AM18" si="10">Q5+AI5</f>
        <v>7</v>
      </c>
      <c r="AN5" s="91">
        <f t="shared" ref="AN5:AN18" si="11">IF(AL5=0," ",AL5/AM5)</f>
        <v>27.571428571428573</v>
      </c>
      <c r="AO5" s="244">
        <f t="shared" ref="AO5:AO18" si="12">IF(AL5=0," ",AL5/(AM5*T5)*100)</f>
        <v>102.11640211640211</v>
      </c>
      <c r="AP5" s="248">
        <f t="shared" ref="AP5:AP18" si="13">IF($AM5&gt;=$AP$1,$AL5/($AM5*$T5)*100,"0")</f>
        <v>102.11640211640211</v>
      </c>
    </row>
    <row r="6" spans="1:48" s="10" customFormat="1" ht="20.100000000000001" customHeight="1">
      <c r="A6" s="66" t="s">
        <v>131</v>
      </c>
      <c r="B6" s="67">
        <v>69</v>
      </c>
      <c r="C6" s="157"/>
      <c r="D6" s="158">
        <v>68</v>
      </c>
      <c r="E6" s="158"/>
      <c r="F6" s="158"/>
      <c r="G6" s="158"/>
      <c r="H6" s="158"/>
      <c r="I6" s="158">
        <v>58</v>
      </c>
      <c r="J6" s="158">
        <v>59</v>
      </c>
      <c r="K6" s="158"/>
      <c r="L6" s="158"/>
      <c r="M6" s="158"/>
      <c r="N6" s="158"/>
      <c r="O6" s="159"/>
      <c r="P6" s="13">
        <f t="shared" si="2"/>
        <v>185</v>
      </c>
      <c r="Q6" s="11">
        <f t="shared" si="3"/>
        <v>3</v>
      </c>
      <c r="R6" s="91">
        <f t="shared" si="4"/>
        <v>61.666666666666664</v>
      </c>
      <c r="S6" s="244">
        <f t="shared" si="5"/>
        <v>89.371980676328505</v>
      </c>
      <c r="T6" s="67">
        <v>69</v>
      </c>
      <c r="U6" s="157"/>
      <c r="V6" s="158"/>
      <c r="W6" s="158"/>
      <c r="X6" s="158"/>
      <c r="Y6" s="158"/>
      <c r="Z6" s="158"/>
      <c r="AA6" s="158">
        <v>29</v>
      </c>
      <c r="AB6" s="158"/>
      <c r="AC6" s="158"/>
      <c r="AD6" s="158"/>
      <c r="AE6" s="158"/>
      <c r="AF6" s="158"/>
      <c r="AG6" s="159"/>
      <c r="AH6" s="13">
        <f t="shared" si="6"/>
        <v>29</v>
      </c>
      <c r="AI6" s="11">
        <f t="shared" si="7"/>
        <v>1</v>
      </c>
      <c r="AJ6" s="12">
        <f t="shared" si="8"/>
        <v>29</v>
      </c>
      <c r="AK6" s="74"/>
      <c r="AL6" s="119">
        <f t="shared" si="9"/>
        <v>214</v>
      </c>
      <c r="AM6" s="91">
        <f t="shared" si="10"/>
        <v>4</v>
      </c>
      <c r="AN6" s="91">
        <f t="shared" si="11"/>
        <v>53.5</v>
      </c>
      <c r="AO6" s="244">
        <f t="shared" si="12"/>
        <v>77.536231884057969</v>
      </c>
      <c r="AP6" s="248" t="str">
        <f t="shared" si="13"/>
        <v>0</v>
      </c>
    </row>
    <row r="7" spans="1:48" s="10" customFormat="1" ht="20.100000000000001" customHeight="1">
      <c r="A7" s="26" t="s">
        <v>132</v>
      </c>
      <c r="B7" s="67">
        <v>29</v>
      </c>
      <c r="C7" s="157">
        <v>22</v>
      </c>
      <c r="D7" s="158"/>
      <c r="E7" s="158">
        <v>39</v>
      </c>
      <c r="F7" s="158">
        <v>25</v>
      </c>
      <c r="G7" s="158">
        <v>24</v>
      </c>
      <c r="H7" s="158"/>
      <c r="I7" s="158"/>
      <c r="J7" s="158"/>
      <c r="K7" s="158">
        <v>19</v>
      </c>
      <c r="L7" s="158">
        <v>46</v>
      </c>
      <c r="M7" s="158">
        <v>33</v>
      </c>
      <c r="N7" s="158">
        <v>38</v>
      </c>
      <c r="O7" s="159"/>
      <c r="P7" s="13">
        <f t="shared" si="2"/>
        <v>246</v>
      </c>
      <c r="Q7" s="11">
        <f t="shared" si="3"/>
        <v>8</v>
      </c>
      <c r="R7" s="91">
        <f t="shared" si="4"/>
        <v>30.75</v>
      </c>
      <c r="S7" s="244">
        <f t="shared" si="5"/>
        <v>106.03448275862068</v>
      </c>
      <c r="T7" s="67">
        <v>29</v>
      </c>
      <c r="U7" s="157">
        <v>44</v>
      </c>
      <c r="V7" s="158"/>
      <c r="W7" s="232">
        <v>34</v>
      </c>
      <c r="X7" s="232">
        <v>22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4"/>
      <c r="AL7" s="119">
        <f t="shared" si="9"/>
        <v>346</v>
      </c>
      <c r="AM7" s="91">
        <f t="shared" si="10"/>
        <v>11</v>
      </c>
      <c r="AN7" s="91">
        <f t="shared" si="11"/>
        <v>31.454545454545453</v>
      </c>
      <c r="AO7" s="244">
        <f t="shared" si="12"/>
        <v>108.4639498432602</v>
      </c>
      <c r="AP7" s="248">
        <f t="shared" si="13"/>
        <v>108.4639498432602</v>
      </c>
    </row>
    <row r="8" spans="1:48" s="10" customFormat="1" ht="20.100000000000001" customHeight="1">
      <c r="A8" s="26" t="s">
        <v>133</v>
      </c>
      <c r="B8" s="67">
        <v>17</v>
      </c>
      <c r="C8" s="157"/>
      <c r="D8" s="158"/>
      <c r="E8" s="158"/>
      <c r="F8" s="158">
        <v>13</v>
      </c>
      <c r="G8" s="158"/>
      <c r="H8" s="158">
        <v>14</v>
      </c>
      <c r="I8" s="158"/>
      <c r="J8" s="158"/>
      <c r="K8" s="158"/>
      <c r="L8" s="158"/>
      <c r="M8" s="158">
        <v>18</v>
      </c>
      <c r="N8" s="158">
        <v>15</v>
      </c>
      <c r="O8" s="159"/>
      <c r="P8" s="13">
        <f t="shared" si="2"/>
        <v>60</v>
      </c>
      <c r="Q8" s="11">
        <f t="shared" si="3"/>
        <v>4</v>
      </c>
      <c r="R8" s="91">
        <f t="shared" si="4"/>
        <v>15</v>
      </c>
      <c r="S8" s="244">
        <f t="shared" si="5"/>
        <v>88.235294117647058</v>
      </c>
      <c r="T8" s="67">
        <v>17</v>
      </c>
      <c r="U8" s="157"/>
      <c r="V8" s="158"/>
      <c r="W8" s="158"/>
      <c r="X8" s="158"/>
      <c r="Y8" s="158"/>
      <c r="Z8" s="158">
        <v>11</v>
      </c>
      <c r="AA8" s="158"/>
      <c r="AB8" s="158"/>
      <c r="AC8" s="158"/>
      <c r="AD8" s="158"/>
      <c r="AE8" s="158"/>
      <c r="AF8" s="158"/>
      <c r="AG8" s="159"/>
      <c r="AH8" s="13">
        <f t="shared" si="6"/>
        <v>11</v>
      </c>
      <c r="AI8" s="11">
        <f t="shared" si="7"/>
        <v>1</v>
      </c>
      <c r="AJ8" s="12">
        <f t="shared" si="8"/>
        <v>11</v>
      </c>
      <c r="AK8" s="74"/>
      <c r="AL8" s="119">
        <f t="shared" si="9"/>
        <v>71</v>
      </c>
      <c r="AM8" s="91">
        <f t="shared" si="10"/>
        <v>5</v>
      </c>
      <c r="AN8" s="91">
        <f t="shared" si="11"/>
        <v>14.2</v>
      </c>
      <c r="AO8" s="244">
        <f t="shared" si="12"/>
        <v>83.529411764705884</v>
      </c>
      <c r="AP8" s="248" t="str">
        <f t="shared" si="13"/>
        <v>0</v>
      </c>
    </row>
    <row r="9" spans="1:48" s="10" customFormat="1" ht="20.100000000000001" customHeight="1">
      <c r="A9" s="26" t="s">
        <v>134</v>
      </c>
      <c r="B9" s="67">
        <v>18</v>
      </c>
      <c r="C9" s="157"/>
      <c r="D9" s="158">
        <v>19</v>
      </c>
      <c r="E9" s="158">
        <v>15</v>
      </c>
      <c r="F9" s="158"/>
      <c r="G9" s="158">
        <v>10</v>
      </c>
      <c r="H9" s="158">
        <v>19</v>
      </c>
      <c r="I9" s="158">
        <v>23</v>
      </c>
      <c r="J9" s="158">
        <v>13</v>
      </c>
      <c r="K9" s="158"/>
      <c r="L9" s="158"/>
      <c r="M9" s="158"/>
      <c r="N9" s="158"/>
      <c r="O9" s="159">
        <v>29</v>
      </c>
      <c r="P9" s="13">
        <f t="shared" si="2"/>
        <v>128</v>
      </c>
      <c r="Q9" s="11">
        <f t="shared" si="3"/>
        <v>7</v>
      </c>
      <c r="R9" s="91">
        <f t="shared" si="4"/>
        <v>18.285714285714285</v>
      </c>
      <c r="S9" s="244">
        <f t="shared" si="5"/>
        <v>101.58730158730158</v>
      </c>
      <c r="T9" s="67">
        <v>18</v>
      </c>
      <c r="U9" s="157">
        <v>11</v>
      </c>
      <c r="V9" s="158"/>
      <c r="W9" s="158">
        <v>5</v>
      </c>
      <c r="X9" s="158"/>
      <c r="Y9" s="158"/>
      <c r="Z9" s="158">
        <v>18</v>
      </c>
      <c r="AA9" s="158">
        <v>30</v>
      </c>
      <c r="AB9" s="158"/>
      <c r="AC9" s="158"/>
      <c r="AD9" s="158"/>
      <c r="AE9" s="158"/>
      <c r="AF9" s="158"/>
      <c r="AG9" s="159"/>
      <c r="AH9" s="13">
        <f t="shared" si="6"/>
        <v>64</v>
      </c>
      <c r="AI9" s="11">
        <f t="shared" si="7"/>
        <v>4</v>
      </c>
      <c r="AJ9" s="12">
        <f t="shared" si="8"/>
        <v>16</v>
      </c>
      <c r="AK9" s="74"/>
      <c r="AL9" s="119">
        <f t="shared" si="9"/>
        <v>192</v>
      </c>
      <c r="AM9" s="91">
        <f t="shared" si="10"/>
        <v>11</v>
      </c>
      <c r="AN9" s="91">
        <f t="shared" si="11"/>
        <v>17.454545454545453</v>
      </c>
      <c r="AO9" s="244">
        <f t="shared" si="12"/>
        <v>96.969696969696969</v>
      </c>
      <c r="AP9" s="248">
        <f t="shared" si="13"/>
        <v>96.969696969696969</v>
      </c>
      <c r="AV9" s="303"/>
    </row>
    <row r="10" spans="1:48" s="10" customFormat="1" ht="20.100000000000001" customHeight="1">
      <c r="A10" s="26" t="s">
        <v>135</v>
      </c>
      <c r="B10" s="67">
        <v>28</v>
      </c>
      <c r="C10" s="157">
        <v>21</v>
      </c>
      <c r="D10" s="158"/>
      <c r="E10" s="158"/>
      <c r="F10" s="158"/>
      <c r="G10" s="158"/>
      <c r="H10" s="158"/>
      <c r="I10" s="158">
        <v>19</v>
      </c>
      <c r="J10" s="158">
        <v>17</v>
      </c>
      <c r="K10" s="158">
        <v>28</v>
      </c>
      <c r="L10" s="158">
        <v>15</v>
      </c>
      <c r="M10" s="158"/>
      <c r="N10" s="158"/>
      <c r="O10" s="159">
        <v>27</v>
      </c>
      <c r="P10" s="13">
        <f t="shared" si="2"/>
        <v>127</v>
      </c>
      <c r="Q10" s="11">
        <f t="shared" si="3"/>
        <v>6</v>
      </c>
      <c r="R10" s="91">
        <f t="shared" si="4"/>
        <v>21.166666666666668</v>
      </c>
      <c r="S10" s="244">
        <f t="shared" si="5"/>
        <v>75.595238095238088</v>
      </c>
      <c r="T10" s="67">
        <v>28</v>
      </c>
      <c r="U10" s="157"/>
      <c r="V10" s="158">
        <v>22</v>
      </c>
      <c r="W10" s="158"/>
      <c r="X10" s="232">
        <v>26</v>
      </c>
      <c r="Y10" s="158">
        <v>20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68</v>
      </c>
      <c r="AI10" s="11">
        <f t="shared" si="7"/>
        <v>3</v>
      </c>
      <c r="AJ10" s="12">
        <f t="shared" si="8"/>
        <v>22.666666666666668</v>
      </c>
      <c r="AK10" s="74"/>
      <c r="AL10" s="119">
        <f t="shared" si="9"/>
        <v>195</v>
      </c>
      <c r="AM10" s="91">
        <f t="shared" si="10"/>
        <v>9</v>
      </c>
      <c r="AN10" s="91">
        <f t="shared" si="11"/>
        <v>21.666666666666668</v>
      </c>
      <c r="AO10" s="244">
        <f t="shared" si="12"/>
        <v>77.38095238095238</v>
      </c>
      <c r="AP10" s="248">
        <f t="shared" si="13"/>
        <v>77.38095238095238</v>
      </c>
    </row>
    <row r="11" spans="1:48" s="10" customFormat="1" ht="20.100000000000001" customHeight="1">
      <c r="A11" s="26" t="s">
        <v>136</v>
      </c>
      <c r="B11" s="67">
        <v>62</v>
      </c>
      <c r="C11" s="157"/>
      <c r="D11" s="158">
        <v>76</v>
      </c>
      <c r="E11" s="158"/>
      <c r="F11" s="158">
        <v>63</v>
      </c>
      <c r="G11" s="158">
        <v>94</v>
      </c>
      <c r="H11" s="158">
        <v>43</v>
      </c>
      <c r="I11" s="158"/>
      <c r="J11" s="158"/>
      <c r="K11" s="158"/>
      <c r="L11" s="158"/>
      <c r="M11" s="158"/>
      <c r="N11" s="158">
        <v>39</v>
      </c>
      <c r="O11" s="159"/>
      <c r="P11" s="13">
        <f t="shared" si="2"/>
        <v>315</v>
      </c>
      <c r="Q11" s="11">
        <f t="shared" si="3"/>
        <v>5</v>
      </c>
      <c r="R11" s="91">
        <f t="shared" si="4"/>
        <v>63</v>
      </c>
      <c r="S11" s="244">
        <f t="shared" si="5"/>
        <v>101.61290322580645</v>
      </c>
      <c r="T11" s="67">
        <v>62</v>
      </c>
      <c r="U11" s="157">
        <v>52</v>
      </c>
      <c r="V11" s="158"/>
      <c r="W11" s="158">
        <v>50</v>
      </c>
      <c r="X11" s="158"/>
      <c r="Y11" s="158">
        <v>43</v>
      </c>
      <c r="Z11" s="158">
        <v>49</v>
      </c>
      <c r="AA11" s="158">
        <v>43</v>
      </c>
      <c r="AB11" s="158"/>
      <c r="AC11" s="158"/>
      <c r="AD11" s="158"/>
      <c r="AE11" s="158"/>
      <c r="AF11" s="158"/>
      <c r="AG11" s="159"/>
      <c r="AH11" s="13">
        <f t="shared" si="6"/>
        <v>237</v>
      </c>
      <c r="AI11" s="11">
        <f t="shared" si="7"/>
        <v>5</v>
      </c>
      <c r="AJ11" s="12">
        <f t="shared" si="8"/>
        <v>47.4</v>
      </c>
      <c r="AK11" s="74"/>
      <c r="AL11" s="119">
        <f t="shared" si="9"/>
        <v>552</v>
      </c>
      <c r="AM11" s="91">
        <f t="shared" si="10"/>
        <v>10</v>
      </c>
      <c r="AN11" s="91">
        <f t="shared" si="11"/>
        <v>55.2</v>
      </c>
      <c r="AO11" s="244">
        <f t="shared" si="12"/>
        <v>89.032258064516128</v>
      </c>
      <c r="AP11" s="248">
        <f t="shared" si="13"/>
        <v>89.032258064516128</v>
      </c>
    </row>
    <row r="12" spans="1:48" s="10" customFormat="1" ht="20.100000000000001" customHeight="1">
      <c r="A12" s="26" t="s">
        <v>137</v>
      </c>
      <c r="B12" s="67">
        <v>25</v>
      </c>
      <c r="C12" s="157"/>
      <c r="D12" s="158"/>
      <c r="E12" s="158">
        <v>15</v>
      </c>
      <c r="F12" s="158">
        <v>29</v>
      </c>
      <c r="G12" s="158">
        <v>44</v>
      </c>
      <c r="H12" s="158">
        <v>26</v>
      </c>
      <c r="I12" s="158"/>
      <c r="J12" s="158"/>
      <c r="K12" s="158"/>
      <c r="L12" s="158"/>
      <c r="M12" s="158">
        <v>25</v>
      </c>
      <c r="N12" s="158"/>
      <c r="O12" s="159"/>
      <c r="P12" s="13">
        <f t="shared" si="2"/>
        <v>139</v>
      </c>
      <c r="Q12" s="11">
        <f t="shared" si="3"/>
        <v>5</v>
      </c>
      <c r="R12" s="91">
        <f t="shared" si="4"/>
        <v>27.8</v>
      </c>
      <c r="S12" s="244">
        <f t="shared" si="5"/>
        <v>111.20000000000002</v>
      </c>
      <c r="T12" s="67">
        <v>25</v>
      </c>
      <c r="U12" s="157">
        <v>38</v>
      </c>
      <c r="V12" s="158"/>
      <c r="W12" s="158">
        <v>26</v>
      </c>
      <c r="X12" s="232">
        <v>42</v>
      </c>
      <c r="Y12" s="158">
        <v>23</v>
      </c>
      <c r="Z12" s="158">
        <v>37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166</v>
      </c>
      <c r="AI12" s="11">
        <f t="shared" si="7"/>
        <v>5</v>
      </c>
      <c r="AJ12" s="12">
        <f t="shared" si="8"/>
        <v>33.200000000000003</v>
      </c>
      <c r="AK12" s="74"/>
      <c r="AL12" s="119">
        <f t="shared" si="9"/>
        <v>305</v>
      </c>
      <c r="AM12" s="91">
        <f t="shared" si="10"/>
        <v>10</v>
      </c>
      <c r="AN12" s="91">
        <f t="shared" si="11"/>
        <v>30.5</v>
      </c>
      <c r="AO12" s="244">
        <f t="shared" si="12"/>
        <v>122</v>
      </c>
      <c r="AP12" s="248">
        <f t="shared" si="13"/>
        <v>122</v>
      </c>
    </row>
    <row r="13" spans="1:48" s="10" customFormat="1" ht="20.100000000000001" customHeight="1">
      <c r="A13" s="26" t="s">
        <v>367</v>
      </c>
      <c r="B13" s="126">
        <v>26</v>
      </c>
      <c r="C13" s="157">
        <v>33</v>
      </c>
      <c r="D13" s="158"/>
      <c r="E13" s="158"/>
      <c r="F13" s="158"/>
      <c r="G13" s="158"/>
      <c r="H13" s="158"/>
      <c r="I13" s="158"/>
      <c r="J13" s="158">
        <v>20</v>
      </c>
      <c r="K13" s="158">
        <v>24</v>
      </c>
      <c r="L13" s="158">
        <v>29</v>
      </c>
      <c r="M13" s="158"/>
      <c r="N13" s="158">
        <v>21</v>
      </c>
      <c r="O13" s="159"/>
      <c r="P13" s="13">
        <f t="shared" si="2"/>
        <v>127</v>
      </c>
      <c r="Q13" s="11">
        <f t="shared" si="3"/>
        <v>5</v>
      </c>
      <c r="R13" s="91">
        <f t="shared" si="4"/>
        <v>25.4</v>
      </c>
      <c r="S13" s="244">
        <f t="shared" si="5"/>
        <v>97.692307692307693</v>
      </c>
      <c r="T13" s="235">
        <v>25</v>
      </c>
      <c r="U13" s="157"/>
      <c r="V13" s="158">
        <v>24</v>
      </c>
      <c r="W13" s="158"/>
      <c r="X13" s="232">
        <v>20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4"/>
      <c r="AL13" s="119">
        <f t="shared" si="9"/>
        <v>171</v>
      </c>
      <c r="AM13" s="91">
        <f t="shared" si="10"/>
        <v>7</v>
      </c>
      <c r="AN13" s="91">
        <f t="shared" si="11"/>
        <v>24.428571428571427</v>
      </c>
      <c r="AO13" s="244">
        <f t="shared" si="12"/>
        <v>97.714285714285708</v>
      </c>
      <c r="AP13" s="248">
        <f t="shared" si="13"/>
        <v>97.714285714285708</v>
      </c>
    </row>
    <row r="14" spans="1:48" s="10" customFormat="1" ht="20.100000000000001" customHeight="1">
      <c r="A14" s="26" t="s">
        <v>138</v>
      </c>
      <c r="B14" s="67">
        <v>34</v>
      </c>
      <c r="C14" s="157">
        <v>22</v>
      </c>
      <c r="D14" s="158"/>
      <c r="E14" s="158">
        <v>22</v>
      </c>
      <c r="F14" s="158">
        <v>37</v>
      </c>
      <c r="G14" s="158"/>
      <c r="H14" s="158"/>
      <c r="I14" s="158"/>
      <c r="J14" s="158"/>
      <c r="K14" s="158">
        <v>17</v>
      </c>
      <c r="L14" s="158">
        <v>36</v>
      </c>
      <c r="M14" s="158"/>
      <c r="N14" s="158">
        <v>17</v>
      </c>
      <c r="O14" s="159">
        <v>49</v>
      </c>
      <c r="P14" s="13">
        <f t="shared" si="2"/>
        <v>200</v>
      </c>
      <c r="Q14" s="11">
        <f t="shared" si="3"/>
        <v>7</v>
      </c>
      <c r="R14" s="91">
        <f t="shared" si="4"/>
        <v>28.571428571428573</v>
      </c>
      <c r="S14" s="244">
        <f t="shared" si="5"/>
        <v>84.033613445378151</v>
      </c>
      <c r="T14" s="67">
        <v>34</v>
      </c>
      <c r="U14" s="157">
        <v>18</v>
      </c>
      <c r="V14" s="158">
        <v>34</v>
      </c>
      <c r="W14" s="158"/>
      <c r="X14" s="232">
        <v>29</v>
      </c>
      <c r="Y14" s="158">
        <v>38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119</v>
      </c>
      <c r="AI14" s="11">
        <f t="shared" si="7"/>
        <v>4</v>
      </c>
      <c r="AJ14" s="12">
        <f t="shared" si="8"/>
        <v>29.75</v>
      </c>
      <c r="AK14" s="74"/>
      <c r="AL14" s="119">
        <f t="shared" si="9"/>
        <v>319</v>
      </c>
      <c r="AM14" s="91">
        <f t="shared" si="10"/>
        <v>11</v>
      </c>
      <c r="AN14" s="91">
        <f t="shared" si="11"/>
        <v>29</v>
      </c>
      <c r="AO14" s="244">
        <f t="shared" si="12"/>
        <v>85.294117647058826</v>
      </c>
      <c r="AP14" s="248">
        <f t="shared" si="13"/>
        <v>85.294117647058826</v>
      </c>
    </row>
    <row r="15" spans="1:48" s="10" customFormat="1" ht="20.100000000000001" customHeight="1">
      <c r="A15" s="26" t="s">
        <v>139</v>
      </c>
      <c r="B15" s="67">
        <v>17</v>
      </c>
      <c r="C15" s="157"/>
      <c r="D15" s="158">
        <v>9</v>
      </c>
      <c r="E15" s="158"/>
      <c r="F15" s="158">
        <v>13</v>
      </c>
      <c r="G15" s="158">
        <v>21</v>
      </c>
      <c r="H15" s="158">
        <v>27</v>
      </c>
      <c r="I15" s="158"/>
      <c r="J15" s="158"/>
      <c r="K15" s="158"/>
      <c r="L15" s="158"/>
      <c r="M15" s="158">
        <v>18</v>
      </c>
      <c r="N15" s="158">
        <v>21</v>
      </c>
      <c r="O15" s="159">
        <v>11</v>
      </c>
      <c r="P15" s="13">
        <f t="shared" si="2"/>
        <v>120</v>
      </c>
      <c r="Q15" s="11">
        <f t="shared" si="3"/>
        <v>7</v>
      </c>
      <c r="R15" s="91">
        <f t="shared" si="4"/>
        <v>17.142857142857142</v>
      </c>
      <c r="S15" s="244">
        <f t="shared" si="5"/>
        <v>100.84033613445378</v>
      </c>
      <c r="T15" s="67">
        <v>17</v>
      </c>
      <c r="U15" s="157">
        <v>22</v>
      </c>
      <c r="V15" s="158"/>
      <c r="W15" s="158">
        <v>19</v>
      </c>
      <c r="X15" s="158"/>
      <c r="Y15" s="158">
        <v>15</v>
      </c>
      <c r="Z15" s="158">
        <v>12</v>
      </c>
      <c r="AA15" s="158">
        <v>22</v>
      </c>
      <c r="AB15" s="158"/>
      <c r="AC15" s="158"/>
      <c r="AD15" s="158"/>
      <c r="AE15" s="158"/>
      <c r="AF15" s="158"/>
      <c r="AG15" s="159"/>
      <c r="AH15" s="13">
        <f t="shared" si="6"/>
        <v>90</v>
      </c>
      <c r="AI15" s="11">
        <f t="shared" si="7"/>
        <v>5</v>
      </c>
      <c r="AJ15" s="12">
        <f t="shared" si="8"/>
        <v>18</v>
      </c>
      <c r="AK15" s="74"/>
      <c r="AL15" s="119">
        <f t="shared" si="9"/>
        <v>210</v>
      </c>
      <c r="AM15" s="91">
        <f t="shared" si="10"/>
        <v>12</v>
      </c>
      <c r="AN15" s="91">
        <f t="shared" si="11"/>
        <v>17.5</v>
      </c>
      <c r="AO15" s="244">
        <f t="shared" si="12"/>
        <v>102.94117647058823</v>
      </c>
      <c r="AP15" s="248">
        <f t="shared" si="13"/>
        <v>102.94117647058823</v>
      </c>
    </row>
    <row r="16" spans="1:48" s="10" customFormat="1" ht="20.100000000000001" customHeight="1">
      <c r="A16" s="26" t="s">
        <v>140</v>
      </c>
      <c r="B16" s="67">
        <v>43</v>
      </c>
      <c r="C16" s="157"/>
      <c r="D16" s="158">
        <v>20</v>
      </c>
      <c r="E16" s="158"/>
      <c r="F16" s="158"/>
      <c r="G16" s="158">
        <v>63</v>
      </c>
      <c r="H16" s="158"/>
      <c r="I16" s="158">
        <v>38</v>
      </c>
      <c r="J16" s="158"/>
      <c r="K16" s="158"/>
      <c r="L16" s="158"/>
      <c r="M16" s="158"/>
      <c r="N16" s="158"/>
      <c r="O16" s="159"/>
      <c r="P16" s="13">
        <f t="shared" si="2"/>
        <v>121</v>
      </c>
      <c r="Q16" s="11">
        <f t="shared" si="3"/>
        <v>3</v>
      </c>
      <c r="R16" s="91">
        <f t="shared" si="4"/>
        <v>40.333333333333336</v>
      </c>
      <c r="S16" s="244">
        <f t="shared" si="5"/>
        <v>93.798449612403104</v>
      </c>
      <c r="T16" s="67">
        <v>43</v>
      </c>
      <c r="U16" s="157"/>
      <c r="V16" s="158"/>
      <c r="W16" s="158">
        <v>28</v>
      </c>
      <c r="X16" s="158"/>
      <c r="Y16" s="158"/>
      <c r="Z16" s="158">
        <v>56</v>
      </c>
      <c r="AA16" s="158">
        <v>35</v>
      </c>
      <c r="AB16" s="158"/>
      <c r="AC16" s="158"/>
      <c r="AD16" s="158"/>
      <c r="AE16" s="158"/>
      <c r="AF16" s="158"/>
      <c r="AG16" s="159"/>
      <c r="AH16" s="13">
        <f t="shared" si="6"/>
        <v>119</v>
      </c>
      <c r="AI16" s="11">
        <f t="shared" si="7"/>
        <v>3</v>
      </c>
      <c r="AJ16" s="12">
        <f t="shared" si="8"/>
        <v>39.666666666666664</v>
      </c>
      <c r="AK16" s="74"/>
      <c r="AL16" s="119">
        <f t="shared" si="9"/>
        <v>240</v>
      </c>
      <c r="AM16" s="91">
        <f t="shared" si="10"/>
        <v>6</v>
      </c>
      <c r="AN16" s="91">
        <f t="shared" si="11"/>
        <v>40</v>
      </c>
      <c r="AO16" s="244">
        <f t="shared" si="12"/>
        <v>93.023255813953483</v>
      </c>
      <c r="AP16" s="248">
        <f t="shared" si="13"/>
        <v>93.023255813953483</v>
      </c>
    </row>
    <row r="17" spans="1:42" s="10" customFormat="1" ht="20.100000000000001" customHeight="1">
      <c r="A17" s="26" t="s">
        <v>141</v>
      </c>
      <c r="B17" s="67">
        <v>37</v>
      </c>
      <c r="C17" s="157"/>
      <c r="D17" s="158">
        <v>30</v>
      </c>
      <c r="E17" s="158"/>
      <c r="F17" s="158"/>
      <c r="G17" s="158"/>
      <c r="H17" s="158">
        <v>80</v>
      </c>
      <c r="I17" s="158">
        <v>26</v>
      </c>
      <c r="J17" s="158">
        <v>43</v>
      </c>
      <c r="K17" s="158"/>
      <c r="L17" s="158"/>
      <c r="M17" s="158">
        <v>40</v>
      </c>
      <c r="N17" s="158"/>
      <c r="O17" s="159">
        <v>41</v>
      </c>
      <c r="P17" s="13">
        <f t="shared" si="2"/>
        <v>260</v>
      </c>
      <c r="Q17" s="11">
        <f t="shared" si="3"/>
        <v>6</v>
      </c>
      <c r="R17" s="91">
        <f t="shared" si="4"/>
        <v>43.333333333333336</v>
      </c>
      <c r="S17" s="244">
        <f t="shared" si="5"/>
        <v>117.11711711711712</v>
      </c>
      <c r="T17" s="67">
        <v>37</v>
      </c>
      <c r="U17" s="157"/>
      <c r="V17" s="158">
        <v>41</v>
      </c>
      <c r="W17" s="158">
        <v>46</v>
      </c>
      <c r="X17" s="158"/>
      <c r="Y17" s="158"/>
      <c r="Z17" s="158"/>
      <c r="AA17" s="158">
        <v>26</v>
      </c>
      <c r="AB17" s="158"/>
      <c r="AC17" s="158"/>
      <c r="AD17" s="158"/>
      <c r="AE17" s="158"/>
      <c r="AF17" s="158"/>
      <c r="AG17" s="159"/>
      <c r="AH17" s="13">
        <f t="shared" si="6"/>
        <v>113</v>
      </c>
      <c r="AI17" s="11">
        <f t="shared" si="7"/>
        <v>3</v>
      </c>
      <c r="AJ17" s="12">
        <f t="shared" si="8"/>
        <v>37.666666666666664</v>
      </c>
      <c r="AK17" s="74"/>
      <c r="AL17" s="119">
        <f t="shared" si="9"/>
        <v>373</v>
      </c>
      <c r="AM17" s="91">
        <f t="shared" si="10"/>
        <v>9</v>
      </c>
      <c r="AN17" s="91">
        <f t="shared" si="11"/>
        <v>41.444444444444443</v>
      </c>
      <c r="AO17" s="244">
        <f t="shared" si="12"/>
        <v>112.01201201201201</v>
      </c>
      <c r="AP17" s="248">
        <f t="shared" si="13"/>
        <v>112.01201201201201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10" customFormat="1" ht="20.100000000000001" customHeight="1" thickBot="1">
      <c r="A19" s="153">
        <f>COUNT(B3:B18)</f>
        <v>15</v>
      </c>
      <c r="B19" s="174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3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163</v>
      </c>
      <c r="Z19" s="19">
        <f t="shared" si="15"/>
        <v>183</v>
      </c>
      <c r="AA19" s="19">
        <f t="shared" si="15"/>
        <v>185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1215</v>
      </c>
      <c r="AI19" s="18">
        <f t="shared" si="15"/>
        <v>42</v>
      </c>
      <c r="AJ19" s="23">
        <f>AH19/AI19</f>
        <v>28.928571428571427</v>
      </c>
      <c r="AK19" s="75"/>
      <c r="AL19" s="24">
        <f>SUM(AL4:AL18)</f>
        <v>3608</v>
      </c>
      <c r="AM19" s="18">
        <f>SUM(AM4:AM18)</f>
        <v>120</v>
      </c>
      <c r="AN19" s="18">
        <f t="shared" ref="AN19" si="17">AL19/AM19</f>
        <v>30.066666666666666</v>
      </c>
      <c r="AO19" s="20"/>
    </row>
    <row r="24" spans="1:42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V24"/>
  <sheetViews>
    <sheetView showGridLines="0" showRowColHeaders="0" topLeftCell="A2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48" t="s">
        <v>142</v>
      </c>
      <c r="B2" s="333" t="s">
        <v>42</v>
      </c>
      <c r="C2" s="335" t="s">
        <v>98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99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49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143</v>
      </c>
      <c r="B4" s="131">
        <v>38</v>
      </c>
      <c r="C4" s="154">
        <v>65</v>
      </c>
      <c r="D4" s="155">
        <v>38</v>
      </c>
      <c r="E4" s="155">
        <v>31</v>
      </c>
      <c r="F4" s="155"/>
      <c r="G4" s="155">
        <v>30</v>
      </c>
      <c r="H4" s="155">
        <v>30</v>
      </c>
      <c r="I4" s="155"/>
      <c r="J4" s="155"/>
      <c r="K4" s="155">
        <v>46</v>
      </c>
      <c r="L4" s="155">
        <v>51</v>
      </c>
      <c r="M4" s="155"/>
      <c r="N4" s="155">
        <v>49</v>
      </c>
      <c r="O4" s="156">
        <v>23</v>
      </c>
      <c r="P4" s="9">
        <f>SUM(C4:O4)</f>
        <v>363</v>
      </c>
      <c r="Q4" s="8">
        <f>COUNTIF(C4:O4,"&gt;0")</f>
        <v>9</v>
      </c>
      <c r="R4" s="118">
        <f>IF(P4=0," ",P4/Q4)</f>
        <v>40.333333333333336</v>
      </c>
      <c r="S4" s="243">
        <f>IF(P4=0," ",P4/(Q4*B4)*100)</f>
        <v>106.14035087719299</v>
      </c>
      <c r="T4" s="67">
        <v>38</v>
      </c>
      <c r="U4" s="154">
        <v>36</v>
      </c>
      <c r="V4" s="155">
        <v>43</v>
      </c>
      <c r="W4" s="155">
        <v>35</v>
      </c>
      <c r="X4" s="155"/>
      <c r="Y4" s="155">
        <v>30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144</v>
      </c>
      <c r="AI4" s="8">
        <f>COUNTIF(U4:AG4,"&gt;0")</f>
        <v>4</v>
      </c>
      <c r="AJ4" s="90">
        <f>IF(AH4=0," ",AH4/AI4)</f>
        <v>36</v>
      </c>
      <c r="AK4" s="74"/>
      <c r="AL4" s="117">
        <f t="shared" ref="AL4" si="0">P4+AH4</f>
        <v>507</v>
      </c>
      <c r="AM4" s="118">
        <f t="shared" ref="AM4" si="1">Q4+AI4</f>
        <v>13</v>
      </c>
      <c r="AN4" s="118">
        <f>IF(AL4=0," ",AL4/AM4)</f>
        <v>39</v>
      </c>
      <c r="AO4" s="243">
        <f>IF(AL4=0," ",AL4/(AM4*T4)*100)</f>
        <v>102.63157894736842</v>
      </c>
      <c r="AP4" s="248">
        <f>IF($AM4&gt;=$AP$1,$AL4/($AM4*$T4)*100,"0")</f>
        <v>102.63157894736842</v>
      </c>
      <c r="AS4" s="215"/>
    </row>
    <row r="5" spans="1:48" s="10" customFormat="1" ht="20.100000000000001" customHeight="1">
      <c r="A5" s="26" t="s">
        <v>144</v>
      </c>
      <c r="B5" s="67">
        <v>20</v>
      </c>
      <c r="C5" s="157"/>
      <c r="D5" s="158">
        <v>23</v>
      </c>
      <c r="E5" s="158"/>
      <c r="F5" s="158">
        <v>16</v>
      </c>
      <c r="G5" s="158"/>
      <c r="H5" s="158">
        <v>15</v>
      </c>
      <c r="I5" s="158"/>
      <c r="J5" s="158">
        <v>25</v>
      </c>
      <c r="K5" s="158"/>
      <c r="L5" s="158">
        <v>12</v>
      </c>
      <c r="M5" s="158">
        <v>14</v>
      </c>
      <c r="N5" s="158"/>
      <c r="O5" s="159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1">
        <f t="shared" ref="R5:R18" si="4">IF(P5=0," ",P5/Q5)</f>
        <v>18.857142857142858</v>
      </c>
      <c r="S5" s="244">
        <f t="shared" ref="S5:S18" si="5">IF(P5=0," ",P5/(Q5*B5)*100)</f>
        <v>94.285714285714278</v>
      </c>
      <c r="T5" s="67">
        <v>20</v>
      </c>
      <c r="U5" s="157"/>
      <c r="V5" s="158">
        <v>10</v>
      </c>
      <c r="W5" s="158">
        <v>23</v>
      </c>
      <c r="X5" s="158"/>
      <c r="Y5" s="158"/>
      <c r="Z5" s="158">
        <v>13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46</v>
      </c>
      <c r="AI5" s="11">
        <f t="shared" ref="AI5:AI18" si="7">COUNTIF(U5:AG5,"&gt;0")</f>
        <v>3</v>
      </c>
      <c r="AJ5" s="12">
        <f t="shared" ref="AJ5:AJ18" si="8">IF(AH5=0," ",AH5/AI5)</f>
        <v>15.333333333333334</v>
      </c>
      <c r="AK5" s="74"/>
      <c r="AL5" s="119">
        <f t="shared" ref="AL5:AL18" si="9">P5+AH5</f>
        <v>178</v>
      </c>
      <c r="AM5" s="91">
        <f t="shared" ref="AM5:AM18" si="10">Q5+AI5</f>
        <v>10</v>
      </c>
      <c r="AN5" s="91">
        <f t="shared" ref="AN5:AN18" si="11">IF(AL5=0," ",AL5/AM5)</f>
        <v>17.8</v>
      </c>
      <c r="AO5" s="244">
        <f t="shared" ref="AO5:AO18" si="12">IF(AL5=0," ",AL5/(AM5*T5)*100)</f>
        <v>89</v>
      </c>
      <c r="AP5" s="248">
        <f t="shared" ref="AP5:AP18" si="13">IF($AM5&gt;=$AP$1,$AL5/($AM5*$T5)*100,"0")</f>
        <v>89</v>
      </c>
    </row>
    <row r="6" spans="1:48" s="10" customFormat="1" ht="20.100000000000001" customHeight="1">
      <c r="A6" s="26" t="s">
        <v>145</v>
      </c>
      <c r="B6" s="67">
        <v>15</v>
      </c>
      <c r="C6" s="157">
        <v>13</v>
      </c>
      <c r="D6" s="158">
        <v>13</v>
      </c>
      <c r="E6" s="158"/>
      <c r="F6" s="158">
        <v>14</v>
      </c>
      <c r="G6" s="158">
        <v>12</v>
      </c>
      <c r="H6" s="158">
        <v>8</v>
      </c>
      <c r="I6" s="158">
        <v>13</v>
      </c>
      <c r="J6" s="158"/>
      <c r="K6" s="158">
        <v>14</v>
      </c>
      <c r="L6" s="158">
        <v>13</v>
      </c>
      <c r="M6" s="158"/>
      <c r="N6" s="158">
        <v>9</v>
      </c>
      <c r="O6" s="159"/>
      <c r="P6" s="13">
        <f t="shared" si="2"/>
        <v>109</v>
      </c>
      <c r="Q6" s="11">
        <f t="shared" si="3"/>
        <v>9</v>
      </c>
      <c r="R6" s="91">
        <f t="shared" si="4"/>
        <v>12.111111111111111</v>
      </c>
      <c r="S6" s="244">
        <f t="shared" si="5"/>
        <v>80.740740740740748</v>
      </c>
      <c r="T6" s="67">
        <v>15</v>
      </c>
      <c r="U6" s="157">
        <v>16</v>
      </c>
      <c r="V6" s="158"/>
      <c r="W6" s="158">
        <v>12</v>
      </c>
      <c r="X6" s="158">
        <v>12</v>
      </c>
      <c r="Y6" s="158"/>
      <c r="Z6" s="158">
        <v>16</v>
      </c>
      <c r="AA6" s="158">
        <v>14</v>
      </c>
      <c r="AB6" s="158"/>
      <c r="AC6" s="158"/>
      <c r="AD6" s="158"/>
      <c r="AE6" s="158"/>
      <c r="AF6" s="158"/>
      <c r="AG6" s="159"/>
      <c r="AH6" s="13">
        <f t="shared" si="6"/>
        <v>70</v>
      </c>
      <c r="AI6" s="11">
        <f t="shared" si="7"/>
        <v>5</v>
      </c>
      <c r="AJ6" s="12">
        <f t="shared" si="8"/>
        <v>14</v>
      </c>
      <c r="AK6" s="74"/>
      <c r="AL6" s="119">
        <f t="shared" si="9"/>
        <v>179</v>
      </c>
      <c r="AM6" s="91">
        <f t="shared" si="10"/>
        <v>14</v>
      </c>
      <c r="AN6" s="91">
        <f t="shared" si="11"/>
        <v>12.785714285714286</v>
      </c>
      <c r="AO6" s="244">
        <f t="shared" si="12"/>
        <v>85.238095238095241</v>
      </c>
      <c r="AP6" s="248">
        <f t="shared" si="13"/>
        <v>85.238095238095241</v>
      </c>
    </row>
    <row r="7" spans="1:48" s="10" customFormat="1" ht="20.100000000000001" customHeight="1">
      <c r="A7" s="26" t="s">
        <v>146</v>
      </c>
      <c r="B7" s="67">
        <v>79</v>
      </c>
      <c r="C7" s="157">
        <v>73</v>
      </c>
      <c r="D7" s="158">
        <v>51</v>
      </c>
      <c r="E7" s="158">
        <v>99</v>
      </c>
      <c r="F7" s="158">
        <v>57</v>
      </c>
      <c r="G7" s="158">
        <v>93</v>
      </c>
      <c r="H7" s="158">
        <v>78</v>
      </c>
      <c r="I7" s="158">
        <v>65</v>
      </c>
      <c r="J7" s="158">
        <v>68</v>
      </c>
      <c r="K7" s="158"/>
      <c r="L7" s="158">
        <v>90</v>
      </c>
      <c r="M7" s="158">
        <v>64</v>
      </c>
      <c r="N7" s="158"/>
      <c r="O7" s="159"/>
      <c r="P7" s="13">
        <f t="shared" si="2"/>
        <v>738</v>
      </c>
      <c r="Q7" s="11">
        <f t="shared" si="3"/>
        <v>10</v>
      </c>
      <c r="R7" s="91">
        <f t="shared" si="4"/>
        <v>73.8</v>
      </c>
      <c r="S7" s="244">
        <f t="shared" si="5"/>
        <v>93.417721518987335</v>
      </c>
      <c r="T7" s="67">
        <v>79</v>
      </c>
      <c r="U7" s="157"/>
      <c r="V7" s="158">
        <v>93</v>
      </c>
      <c r="W7" s="158">
        <v>63</v>
      </c>
      <c r="X7" s="158">
        <v>73</v>
      </c>
      <c r="Y7" s="158">
        <v>65</v>
      </c>
      <c r="Z7" s="158">
        <v>111</v>
      </c>
      <c r="AA7" s="158"/>
      <c r="AB7" s="158"/>
      <c r="AC7" s="158"/>
      <c r="AD7" s="158"/>
      <c r="AE7" s="158"/>
      <c r="AF7" s="158"/>
      <c r="AG7" s="159"/>
      <c r="AH7" s="13">
        <f t="shared" si="6"/>
        <v>405</v>
      </c>
      <c r="AI7" s="11">
        <f t="shared" si="7"/>
        <v>5</v>
      </c>
      <c r="AJ7" s="12">
        <f t="shared" si="8"/>
        <v>81</v>
      </c>
      <c r="AK7" s="74"/>
      <c r="AL7" s="119">
        <f t="shared" si="9"/>
        <v>1143</v>
      </c>
      <c r="AM7" s="91">
        <f t="shared" si="10"/>
        <v>15</v>
      </c>
      <c r="AN7" s="91">
        <f t="shared" si="11"/>
        <v>76.2</v>
      </c>
      <c r="AO7" s="244">
        <f t="shared" si="12"/>
        <v>96.455696202531655</v>
      </c>
      <c r="AP7" s="248">
        <f t="shared" si="13"/>
        <v>96.455696202531655</v>
      </c>
    </row>
    <row r="8" spans="1:48" s="10" customFormat="1" ht="20.100000000000001" customHeight="1">
      <c r="A8" s="26" t="s">
        <v>309</v>
      </c>
      <c r="B8" s="67">
        <v>51</v>
      </c>
      <c r="C8" s="157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9"/>
      <c r="P8" s="13">
        <f t="shared" si="2"/>
        <v>0</v>
      </c>
      <c r="Q8" s="11">
        <f t="shared" si="3"/>
        <v>0</v>
      </c>
      <c r="R8" s="91" t="str">
        <f t="shared" si="4"/>
        <v xml:space="preserve"> </v>
      </c>
      <c r="S8" s="244" t="str">
        <f t="shared" si="5"/>
        <v xml:space="preserve"> </v>
      </c>
      <c r="T8" s="67">
        <v>51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0</v>
      </c>
      <c r="AM8" s="91">
        <f t="shared" si="10"/>
        <v>0</v>
      </c>
      <c r="AN8" s="91" t="str">
        <f t="shared" si="11"/>
        <v xml:space="preserve"> </v>
      </c>
      <c r="AO8" s="244" t="str">
        <f t="shared" si="12"/>
        <v xml:space="preserve"> </v>
      </c>
      <c r="AP8" s="248" t="str">
        <f t="shared" si="13"/>
        <v>0</v>
      </c>
    </row>
    <row r="9" spans="1:48" s="10" customFormat="1" ht="20.100000000000001" customHeight="1">
      <c r="A9" s="26" t="s">
        <v>147</v>
      </c>
      <c r="B9" s="67">
        <v>37</v>
      </c>
      <c r="C9" s="157">
        <v>55</v>
      </c>
      <c r="D9" s="158">
        <v>34</v>
      </c>
      <c r="E9" s="158">
        <v>50</v>
      </c>
      <c r="F9" s="158">
        <v>54</v>
      </c>
      <c r="G9" s="158">
        <v>32</v>
      </c>
      <c r="H9" s="158"/>
      <c r="I9" s="158">
        <v>33</v>
      </c>
      <c r="J9" s="158"/>
      <c r="K9" s="158">
        <v>55</v>
      </c>
      <c r="L9" s="158">
        <v>38</v>
      </c>
      <c r="M9" s="158">
        <v>55</v>
      </c>
      <c r="N9" s="158">
        <v>51</v>
      </c>
      <c r="O9" s="159">
        <v>27</v>
      </c>
      <c r="P9" s="13">
        <f t="shared" si="2"/>
        <v>484</v>
      </c>
      <c r="Q9" s="11">
        <f t="shared" si="3"/>
        <v>11</v>
      </c>
      <c r="R9" s="91">
        <f t="shared" si="4"/>
        <v>44</v>
      </c>
      <c r="S9" s="244">
        <f t="shared" si="5"/>
        <v>118.91891891891892</v>
      </c>
      <c r="T9" s="67">
        <v>37</v>
      </c>
      <c r="U9" s="157">
        <v>20</v>
      </c>
      <c r="V9" s="158">
        <v>29</v>
      </c>
      <c r="W9" s="158">
        <v>19</v>
      </c>
      <c r="X9" s="158">
        <v>23</v>
      </c>
      <c r="Y9" s="158">
        <v>38</v>
      </c>
      <c r="Z9" s="158">
        <v>19</v>
      </c>
      <c r="AA9" s="158">
        <v>31</v>
      </c>
      <c r="AB9" s="158"/>
      <c r="AC9" s="158"/>
      <c r="AD9" s="158"/>
      <c r="AE9" s="158"/>
      <c r="AF9" s="158"/>
      <c r="AG9" s="159"/>
      <c r="AH9" s="13">
        <f t="shared" si="6"/>
        <v>179</v>
      </c>
      <c r="AI9" s="11">
        <f t="shared" si="7"/>
        <v>7</v>
      </c>
      <c r="AJ9" s="12">
        <f t="shared" si="8"/>
        <v>25.571428571428573</v>
      </c>
      <c r="AK9" s="74"/>
      <c r="AL9" s="119">
        <f t="shared" si="9"/>
        <v>663</v>
      </c>
      <c r="AM9" s="91">
        <f t="shared" si="10"/>
        <v>18</v>
      </c>
      <c r="AN9" s="91">
        <f t="shared" si="11"/>
        <v>36.833333333333336</v>
      </c>
      <c r="AO9" s="244">
        <f t="shared" si="12"/>
        <v>99.549549549549553</v>
      </c>
      <c r="AP9" s="248">
        <f t="shared" si="13"/>
        <v>99.549549549549553</v>
      </c>
      <c r="AV9" s="303"/>
    </row>
    <row r="10" spans="1:48" s="10" customFormat="1" ht="20.100000000000001" customHeight="1">
      <c r="A10" s="26" t="s">
        <v>148</v>
      </c>
      <c r="B10" s="67">
        <v>20</v>
      </c>
      <c r="C10" s="157"/>
      <c r="D10" s="158"/>
      <c r="E10" s="158"/>
      <c r="F10" s="158"/>
      <c r="G10" s="158">
        <v>22</v>
      </c>
      <c r="H10" s="158"/>
      <c r="I10" s="158">
        <v>40</v>
      </c>
      <c r="J10" s="158">
        <v>27</v>
      </c>
      <c r="K10" s="158">
        <v>21</v>
      </c>
      <c r="L10" s="158">
        <v>20</v>
      </c>
      <c r="M10" s="158">
        <v>16</v>
      </c>
      <c r="N10" s="158"/>
      <c r="O10" s="159"/>
      <c r="P10" s="13">
        <f t="shared" si="2"/>
        <v>146</v>
      </c>
      <c r="Q10" s="11">
        <f t="shared" si="3"/>
        <v>6</v>
      </c>
      <c r="R10" s="91">
        <f t="shared" si="4"/>
        <v>24.333333333333332</v>
      </c>
      <c r="S10" s="244">
        <f t="shared" si="5"/>
        <v>121.66666666666666</v>
      </c>
      <c r="T10" s="67">
        <v>20</v>
      </c>
      <c r="U10" s="157">
        <v>15</v>
      </c>
      <c r="V10" s="158">
        <v>28</v>
      </c>
      <c r="W10" s="158"/>
      <c r="X10" s="158"/>
      <c r="Y10" s="158">
        <v>17</v>
      </c>
      <c r="Z10" s="158"/>
      <c r="AA10" s="158">
        <v>18</v>
      </c>
      <c r="AB10" s="158"/>
      <c r="AC10" s="158"/>
      <c r="AD10" s="158"/>
      <c r="AE10" s="158"/>
      <c r="AF10" s="158"/>
      <c r="AG10" s="159"/>
      <c r="AH10" s="13">
        <f t="shared" si="6"/>
        <v>78</v>
      </c>
      <c r="AI10" s="11">
        <f t="shared" si="7"/>
        <v>4</v>
      </c>
      <c r="AJ10" s="12">
        <f t="shared" si="8"/>
        <v>19.5</v>
      </c>
      <c r="AK10" s="74"/>
      <c r="AL10" s="119">
        <f t="shared" si="9"/>
        <v>224</v>
      </c>
      <c r="AM10" s="91">
        <f t="shared" si="10"/>
        <v>10</v>
      </c>
      <c r="AN10" s="91">
        <f t="shared" si="11"/>
        <v>22.4</v>
      </c>
      <c r="AO10" s="244">
        <f t="shared" si="12"/>
        <v>112.00000000000001</v>
      </c>
      <c r="AP10" s="248">
        <f t="shared" si="13"/>
        <v>112.00000000000001</v>
      </c>
    </row>
    <row r="11" spans="1:48" s="10" customFormat="1" ht="20.100000000000001" customHeight="1">
      <c r="A11" s="26" t="s">
        <v>149</v>
      </c>
      <c r="B11" s="67">
        <v>22</v>
      </c>
      <c r="C11" s="157"/>
      <c r="D11" s="158">
        <v>30</v>
      </c>
      <c r="E11" s="158">
        <v>23</v>
      </c>
      <c r="F11" s="158"/>
      <c r="G11" s="158"/>
      <c r="H11" s="158">
        <v>28</v>
      </c>
      <c r="I11" s="158">
        <v>26</v>
      </c>
      <c r="J11" s="158">
        <v>26</v>
      </c>
      <c r="K11" s="158">
        <v>31</v>
      </c>
      <c r="L11" s="158"/>
      <c r="M11" s="158"/>
      <c r="N11" s="158"/>
      <c r="O11" s="159"/>
      <c r="P11" s="13">
        <f t="shared" si="2"/>
        <v>164</v>
      </c>
      <c r="Q11" s="11">
        <f t="shared" si="3"/>
        <v>6</v>
      </c>
      <c r="R11" s="91">
        <f t="shared" si="4"/>
        <v>27.333333333333332</v>
      </c>
      <c r="S11" s="244">
        <f t="shared" si="5"/>
        <v>124.24242424242425</v>
      </c>
      <c r="T11" s="67">
        <v>22</v>
      </c>
      <c r="U11" s="157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4"/>
      <c r="AL11" s="119">
        <f t="shared" si="9"/>
        <v>164</v>
      </c>
      <c r="AM11" s="91">
        <f t="shared" si="10"/>
        <v>6</v>
      </c>
      <c r="AN11" s="91">
        <f t="shared" si="11"/>
        <v>27.333333333333332</v>
      </c>
      <c r="AO11" s="244">
        <f t="shared" si="12"/>
        <v>124.24242424242425</v>
      </c>
      <c r="AP11" s="248">
        <f t="shared" si="13"/>
        <v>124.24242424242425</v>
      </c>
    </row>
    <row r="12" spans="1:48" s="10" customFormat="1" ht="20.100000000000001" customHeight="1">
      <c r="A12" s="66" t="s">
        <v>150</v>
      </c>
      <c r="B12" s="67">
        <v>64</v>
      </c>
      <c r="C12" s="157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0</v>
      </c>
      <c r="Q12" s="11">
        <f t="shared" si="3"/>
        <v>0</v>
      </c>
      <c r="R12" s="91" t="str">
        <f t="shared" si="4"/>
        <v xml:space="preserve"> </v>
      </c>
      <c r="S12" s="244" t="str">
        <f t="shared" si="5"/>
        <v xml:space="preserve"> </v>
      </c>
      <c r="T12" s="67">
        <v>64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4"/>
      <c r="AL12" s="119">
        <f t="shared" si="9"/>
        <v>0</v>
      </c>
      <c r="AM12" s="91">
        <f t="shared" si="10"/>
        <v>0</v>
      </c>
      <c r="AN12" s="91" t="str">
        <f t="shared" si="11"/>
        <v xml:space="preserve"> </v>
      </c>
      <c r="AO12" s="244" t="str">
        <f t="shared" si="12"/>
        <v xml:space="preserve"> </v>
      </c>
      <c r="AP12" s="248" t="str">
        <f t="shared" si="13"/>
        <v>0</v>
      </c>
    </row>
    <row r="13" spans="1:48" s="10" customFormat="1" ht="20.100000000000001" customHeight="1">
      <c r="A13" s="26" t="s">
        <v>151</v>
      </c>
      <c r="B13" s="67">
        <v>24</v>
      </c>
      <c r="C13" s="157">
        <v>35</v>
      </c>
      <c r="D13" s="158"/>
      <c r="E13" s="158">
        <v>30</v>
      </c>
      <c r="F13" s="158">
        <v>19</v>
      </c>
      <c r="G13" s="158"/>
      <c r="H13" s="158">
        <v>28</v>
      </c>
      <c r="I13" s="158"/>
      <c r="J13" s="158">
        <v>18</v>
      </c>
      <c r="K13" s="158"/>
      <c r="L13" s="158"/>
      <c r="M13" s="158">
        <v>27</v>
      </c>
      <c r="N13" s="158">
        <v>38</v>
      </c>
      <c r="O13" s="159">
        <v>16</v>
      </c>
      <c r="P13" s="13">
        <f t="shared" si="2"/>
        <v>211</v>
      </c>
      <c r="Q13" s="11">
        <f t="shared" si="3"/>
        <v>8</v>
      </c>
      <c r="R13" s="91">
        <f t="shared" si="4"/>
        <v>26.375</v>
      </c>
      <c r="S13" s="244">
        <f t="shared" si="5"/>
        <v>109.89583333333333</v>
      </c>
      <c r="T13" s="67">
        <v>24</v>
      </c>
      <c r="U13" s="157">
        <v>19</v>
      </c>
      <c r="V13" s="158"/>
      <c r="W13" s="158"/>
      <c r="X13" s="158">
        <v>23</v>
      </c>
      <c r="Y13" s="158">
        <v>19</v>
      </c>
      <c r="Z13" s="158">
        <v>15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76</v>
      </c>
      <c r="AI13" s="11">
        <f t="shared" si="7"/>
        <v>4</v>
      </c>
      <c r="AJ13" s="12">
        <f t="shared" si="8"/>
        <v>19</v>
      </c>
      <c r="AK13" s="74"/>
      <c r="AL13" s="119">
        <f t="shared" si="9"/>
        <v>287</v>
      </c>
      <c r="AM13" s="91">
        <f t="shared" si="10"/>
        <v>12</v>
      </c>
      <c r="AN13" s="91">
        <f t="shared" si="11"/>
        <v>23.916666666666668</v>
      </c>
      <c r="AO13" s="244">
        <f t="shared" si="12"/>
        <v>99.652777777777786</v>
      </c>
      <c r="AP13" s="248">
        <f t="shared" si="13"/>
        <v>99.652777777777786</v>
      </c>
    </row>
    <row r="14" spans="1:48" s="10" customFormat="1" ht="20.100000000000001" customHeight="1">
      <c r="A14" s="26" t="s">
        <v>152</v>
      </c>
      <c r="B14" s="67">
        <v>22</v>
      </c>
      <c r="C14" s="157"/>
      <c r="D14" s="158"/>
      <c r="E14" s="158"/>
      <c r="F14" s="158"/>
      <c r="G14" s="158"/>
      <c r="H14" s="158"/>
      <c r="I14" s="158">
        <v>32</v>
      </c>
      <c r="J14" s="158">
        <v>16</v>
      </c>
      <c r="K14" s="158"/>
      <c r="L14" s="158"/>
      <c r="M14" s="158">
        <v>24</v>
      </c>
      <c r="N14" s="158">
        <v>19</v>
      </c>
      <c r="O14" s="159">
        <v>22</v>
      </c>
      <c r="P14" s="13">
        <f t="shared" si="2"/>
        <v>113</v>
      </c>
      <c r="Q14" s="11">
        <f t="shared" si="3"/>
        <v>5</v>
      </c>
      <c r="R14" s="91">
        <f t="shared" si="4"/>
        <v>22.6</v>
      </c>
      <c r="S14" s="244">
        <f t="shared" si="5"/>
        <v>102.72727272727273</v>
      </c>
      <c r="T14" s="67">
        <v>22</v>
      </c>
      <c r="U14" s="157"/>
      <c r="V14" s="158"/>
      <c r="W14" s="158"/>
      <c r="X14" s="158">
        <v>17</v>
      </c>
      <c r="Y14" s="158"/>
      <c r="Z14" s="158"/>
      <c r="AA14" s="158">
        <v>20</v>
      </c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4"/>
      <c r="AL14" s="119">
        <f t="shared" si="9"/>
        <v>150</v>
      </c>
      <c r="AM14" s="91">
        <f t="shared" si="10"/>
        <v>7</v>
      </c>
      <c r="AN14" s="91">
        <f t="shared" si="11"/>
        <v>21.428571428571427</v>
      </c>
      <c r="AO14" s="244">
        <f t="shared" si="12"/>
        <v>97.402597402597408</v>
      </c>
      <c r="AP14" s="248">
        <f t="shared" si="13"/>
        <v>97.402597402597408</v>
      </c>
    </row>
    <row r="15" spans="1:48" s="10" customFormat="1" ht="20.100000000000001" customHeight="1">
      <c r="A15" s="26" t="s">
        <v>310</v>
      </c>
      <c r="B15" s="67">
        <v>23</v>
      </c>
      <c r="C15" s="157">
        <v>17</v>
      </c>
      <c r="D15" s="158"/>
      <c r="E15" s="158">
        <v>22</v>
      </c>
      <c r="F15" s="158">
        <v>20</v>
      </c>
      <c r="G15" s="158">
        <v>32</v>
      </c>
      <c r="H15" s="158"/>
      <c r="I15" s="158"/>
      <c r="J15" s="158"/>
      <c r="K15" s="158">
        <v>24</v>
      </c>
      <c r="L15" s="158"/>
      <c r="M15" s="158"/>
      <c r="N15" s="158">
        <v>20</v>
      </c>
      <c r="O15" s="159">
        <v>25</v>
      </c>
      <c r="P15" s="13">
        <f t="shared" si="2"/>
        <v>160</v>
      </c>
      <c r="Q15" s="11">
        <f t="shared" si="3"/>
        <v>7</v>
      </c>
      <c r="R15" s="91">
        <f t="shared" si="4"/>
        <v>22.857142857142858</v>
      </c>
      <c r="S15" s="244">
        <f t="shared" si="5"/>
        <v>99.378881987577643</v>
      </c>
      <c r="T15" s="67">
        <v>23</v>
      </c>
      <c r="U15" s="157">
        <v>14</v>
      </c>
      <c r="V15" s="158">
        <v>26</v>
      </c>
      <c r="W15" s="158"/>
      <c r="X15" s="158">
        <v>29</v>
      </c>
      <c r="Y15" s="158"/>
      <c r="Z15" s="158"/>
      <c r="AA15" s="158">
        <v>14</v>
      </c>
      <c r="AB15" s="158"/>
      <c r="AC15" s="158"/>
      <c r="AD15" s="158"/>
      <c r="AE15" s="158"/>
      <c r="AF15" s="158"/>
      <c r="AG15" s="159"/>
      <c r="AH15" s="13">
        <f t="shared" si="6"/>
        <v>83</v>
      </c>
      <c r="AI15" s="11">
        <f t="shared" si="7"/>
        <v>4</v>
      </c>
      <c r="AJ15" s="12">
        <f t="shared" si="8"/>
        <v>20.75</v>
      </c>
      <c r="AK15" s="74"/>
      <c r="AL15" s="119">
        <f t="shared" si="9"/>
        <v>243</v>
      </c>
      <c r="AM15" s="91">
        <f t="shared" si="10"/>
        <v>11</v>
      </c>
      <c r="AN15" s="91">
        <f t="shared" si="11"/>
        <v>22.09090909090909</v>
      </c>
      <c r="AO15" s="244">
        <f t="shared" si="12"/>
        <v>96.047430830039531</v>
      </c>
      <c r="AP15" s="248">
        <f t="shared" si="13"/>
        <v>96.047430830039531</v>
      </c>
    </row>
    <row r="16" spans="1:48" s="10" customFormat="1" ht="20.100000000000001" customHeight="1">
      <c r="A16" s="26" t="s">
        <v>374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302">
        <v>27</v>
      </c>
      <c r="U16" s="157"/>
      <c r="V16" s="158"/>
      <c r="W16" s="158">
        <v>18</v>
      </c>
      <c r="X16" s="158"/>
      <c r="Y16" s="158">
        <v>20</v>
      </c>
      <c r="Z16" s="158">
        <v>43</v>
      </c>
      <c r="AA16" s="158">
        <v>31</v>
      </c>
      <c r="AB16" s="158"/>
      <c r="AC16" s="158"/>
      <c r="AD16" s="158"/>
      <c r="AE16" s="158"/>
      <c r="AF16" s="158"/>
      <c r="AG16" s="159"/>
      <c r="AH16" s="13">
        <f t="shared" si="6"/>
        <v>112</v>
      </c>
      <c r="AI16" s="11">
        <f t="shared" si="7"/>
        <v>4</v>
      </c>
      <c r="AJ16" s="12">
        <f t="shared" si="8"/>
        <v>28</v>
      </c>
      <c r="AK16" s="74"/>
      <c r="AL16" s="119">
        <f t="shared" si="9"/>
        <v>112</v>
      </c>
      <c r="AM16" s="91">
        <f t="shared" si="10"/>
        <v>4</v>
      </c>
      <c r="AN16" s="91">
        <f t="shared" si="11"/>
        <v>28</v>
      </c>
      <c r="AO16" s="244">
        <f t="shared" si="12"/>
        <v>103.7037037037037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53">
        <f>COUNT(B2:B18)</f>
        <v>15</v>
      </c>
      <c r="B19" s="174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3">
        <f>SUM(T4:T18)</f>
        <v>442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169</v>
      </c>
      <c r="Z19" s="19">
        <f t="shared" si="16"/>
        <v>174</v>
      </c>
      <c r="AA19" s="19">
        <f t="shared" si="16"/>
        <v>97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1118</v>
      </c>
      <c r="AI19" s="18">
        <f>SUM(AI4:AI15)</f>
        <v>38</v>
      </c>
      <c r="AJ19" s="23">
        <f>AH19/AI19</f>
        <v>29.421052631578949</v>
      </c>
      <c r="AK19" s="75"/>
      <c r="AL19" s="239">
        <f>SUM(AL4:AL18)</f>
        <v>3850</v>
      </c>
      <c r="AM19" s="18">
        <f>SUM(AM4:AM15)</f>
        <v>116</v>
      </c>
      <c r="AN19" s="18">
        <f t="shared" ref="AN19" si="18">AL19/AM19</f>
        <v>33.189655172413794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30</v>
      </c>
      <c r="B2" s="333" t="s">
        <v>42</v>
      </c>
      <c r="C2" s="335" t="s">
        <v>153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77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154</v>
      </c>
      <c r="B4" s="131">
        <v>19</v>
      </c>
      <c r="C4" s="154">
        <v>31</v>
      </c>
      <c r="D4" s="155"/>
      <c r="E4" s="155"/>
      <c r="F4" s="155">
        <v>15</v>
      </c>
      <c r="G4" s="155">
        <v>16</v>
      </c>
      <c r="H4" s="155"/>
      <c r="I4" s="155">
        <v>22</v>
      </c>
      <c r="J4" s="155">
        <v>24</v>
      </c>
      <c r="K4" s="155">
        <v>22</v>
      </c>
      <c r="L4" s="155">
        <v>13</v>
      </c>
      <c r="M4" s="155">
        <v>19</v>
      </c>
      <c r="N4" s="155">
        <v>18</v>
      </c>
      <c r="O4" s="156"/>
      <c r="P4" s="9">
        <f>SUM(C4:O4)</f>
        <v>180</v>
      </c>
      <c r="Q4" s="8">
        <f>COUNTIF(C4:O4,"&gt;0")</f>
        <v>9</v>
      </c>
      <c r="R4" s="118">
        <f>IF(P4=0," ",P4/Q4)</f>
        <v>20</v>
      </c>
      <c r="S4" s="243">
        <f t="shared" ref="S4" si="0">IF(P4=0," ",P4/(Q4*T4)*100)</f>
        <v>105.26315789473684</v>
      </c>
      <c r="T4" s="67">
        <v>19</v>
      </c>
      <c r="U4" s="154">
        <v>21</v>
      </c>
      <c r="V4" s="155">
        <v>20</v>
      </c>
      <c r="W4" s="155"/>
      <c r="X4" s="155">
        <v>41</v>
      </c>
      <c r="Y4" s="155">
        <v>23</v>
      </c>
      <c r="Z4" s="155">
        <v>24</v>
      </c>
      <c r="AA4" s="155">
        <v>9</v>
      </c>
      <c r="AB4" s="155"/>
      <c r="AC4" s="155"/>
      <c r="AD4" s="155"/>
      <c r="AE4" s="155"/>
      <c r="AF4" s="155"/>
      <c r="AG4" s="156"/>
      <c r="AH4" s="9">
        <f>SUM(U4:AG4)</f>
        <v>138</v>
      </c>
      <c r="AI4" s="8">
        <f>COUNTIF(U4:AG4,"&gt;0")</f>
        <v>6</v>
      </c>
      <c r="AJ4" s="90">
        <f>IF(AH4=0," ",AH4/AI4)</f>
        <v>23</v>
      </c>
      <c r="AK4" s="74"/>
      <c r="AL4" s="117">
        <f t="shared" ref="AL4" si="1">P4+AH4</f>
        <v>318</v>
      </c>
      <c r="AM4" s="118">
        <f t="shared" ref="AM4" si="2">Q4+AI4</f>
        <v>15</v>
      </c>
      <c r="AN4" s="118">
        <f>IF(AL4=0," ",AL4/AM4)</f>
        <v>21.2</v>
      </c>
      <c r="AO4" s="243">
        <f>IF(AL4=0," ",AL4/(AM4*T4)*100)</f>
        <v>111.57894736842104</v>
      </c>
      <c r="AP4" s="248">
        <f>IF($AM4&gt;=$AP$1,$AL4/($AM4*$T4)*100,"0")</f>
        <v>111.57894736842104</v>
      </c>
    </row>
    <row r="5" spans="1:48" s="10" customFormat="1" ht="20.100000000000001" customHeight="1">
      <c r="A5" s="26" t="s">
        <v>311</v>
      </c>
      <c r="B5" s="67">
        <v>18</v>
      </c>
      <c r="C5" s="157">
        <v>22</v>
      </c>
      <c r="D5" s="158"/>
      <c r="E5" s="158">
        <v>14</v>
      </c>
      <c r="F5" s="158">
        <v>9</v>
      </c>
      <c r="G5" s="158">
        <v>11</v>
      </c>
      <c r="H5" s="158">
        <v>16</v>
      </c>
      <c r="I5" s="158">
        <v>9</v>
      </c>
      <c r="J5" s="158">
        <v>12</v>
      </c>
      <c r="K5" s="158"/>
      <c r="L5" s="158">
        <v>15</v>
      </c>
      <c r="M5" s="158">
        <v>24</v>
      </c>
      <c r="N5" s="158">
        <v>12</v>
      </c>
      <c r="O5" s="159"/>
      <c r="P5" s="13">
        <f t="shared" ref="P5:P18" si="3">SUM(C5:O5)</f>
        <v>144</v>
      </c>
      <c r="Q5" s="11">
        <f t="shared" ref="Q5:Q18" si="4">COUNTIF(C5:O5,"&gt;0")</f>
        <v>10</v>
      </c>
      <c r="R5" s="91">
        <f t="shared" ref="R5:R18" si="5">IF(P5=0," ",P5/Q5)</f>
        <v>14.4</v>
      </c>
      <c r="S5" s="244">
        <f t="shared" ref="S5:S18" si="6">IF(P5=0," ",P5/(Q5*T5)*100)</f>
        <v>80</v>
      </c>
      <c r="T5" s="67">
        <v>18</v>
      </c>
      <c r="U5" s="157">
        <v>25</v>
      </c>
      <c r="V5" s="158"/>
      <c r="W5" s="158">
        <v>13</v>
      </c>
      <c r="X5" s="158">
        <v>17</v>
      </c>
      <c r="Y5" s="158"/>
      <c r="Z5" s="158"/>
      <c r="AA5" s="158">
        <v>6</v>
      </c>
      <c r="AB5" s="158"/>
      <c r="AC5" s="158"/>
      <c r="AD5" s="158"/>
      <c r="AE5" s="158"/>
      <c r="AF5" s="158"/>
      <c r="AG5" s="159"/>
      <c r="AH5" s="13">
        <f t="shared" ref="AH5:AH18" si="7">SUM(U5:AG5)</f>
        <v>61</v>
      </c>
      <c r="AI5" s="11">
        <f t="shared" ref="AI5:AI18" si="8">COUNTIF(U5:AG5,"&gt;0")</f>
        <v>4</v>
      </c>
      <c r="AJ5" s="12">
        <f t="shared" ref="AJ5:AJ18" si="9">IF(AH5=0," ",AH5/AI5)</f>
        <v>15.25</v>
      </c>
      <c r="AK5" s="74"/>
      <c r="AL5" s="119">
        <f t="shared" ref="AL5:AL18" si="10">P5+AH5</f>
        <v>205</v>
      </c>
      <c r="AM5" s="91">
        <f t="shared" ref="AM5:AM18" si="11">Q5+AI5</f>
        <v>14</v>
      </c>
      <c r="AN5" s="91">
        <f t="shared" ref="AN5:AN18" si="12">IF(AL5=0," ",AL5/AM5)</f>
        <v>14.642857142857142</v>
      </c>
      <c r="AO5" s="244">
        <f t="shared" ref="AO5:AO18" si="13">IF(AL5=0," ",AL5/(AM5*T5)*100)</f>
        <v>81.349206349206355</v>
      </c>
      <c r="AP5" s="248">
        <f t="shared" ref="AP5:AP18" si="14">IF($AM5&gt;=$AP$1,$AL5/($AM5*$T5)*100,"0")</f>
        <v>81.349206349206355</v>
      </c>
    </row>
    <row r="6" spans="1:48" s="10" customFormat="1" ht="20.100000000000001" customHeight="1">
      <c r="A6" s="66" t="s">
        <v>360</v>
      </c>
      <c r="B6" s="67">
        <v>68</v>
      </c>
      <c r="C6" s="157">
        <v>73</v>
      </c>
      <c r="D6" s="158">
        <v>48</v>
      </c>
      <c r="E6" s="158">
        <v>66</v>
      </c>
      <c r="F6" s="158">
        <v>42</v>
      </c>
      <c r="G6" s="158"/>
      <c r="H6" s="158"/>
      <c r="I6" s="158"/>
      <c r="J6" s="158">
        <v>53</v>
      </c>
      <c r="K6" s="158">
        <v>50</v>
      </c>
      <c r="L6" s="158"/>
      <c r="M6" s="158"/>
      <c r="N6" s="158"/>
      <c r="O6" s="159"/>
      <c r="P6" s="13">
        <f t="shared" si="3"/>
        <v>332</v>
      </c>
      <c r="Q6" s="11">
        <f t="shared" si="4"/>
        <v>6</v>
      </c>
      <c r="R6" s="91">
        <f t="shared" si="5"/>
        <v>55.333333333333336</v>
      </c>
      <c r="S6" s="244">
        <f t="shared" si="6"/>
        <v>81.372549019607845</v>
      </c>
      <c r="T6" s="67">
        <v>68</v>
      </c>
      <c r="U6" s="157">
        <v>80</v>
      </c>
      <c r="V6" s="158">
        <v>49</v>
      </c>
      <c r="W6" s="158">
        <v>93</v>
      </c>
      <c r="X6" s="158"/>
      <c r="Y6" s="158">
        <v>48</v>
      </c>
      <c r="Z6" s="158">
        <v>49</v>
      </c>
      <c r="AA6" s="158"/>
      <c r="AB6" s="158"/>
      <c r="AC6" s="158"/>
      <c r="AD6" s="158"/>
      <c r="AE6" s="158"/>
      <c r="AF6" s="158"/>
      <c r="AG6" s="159"/>
      <c r="AH6" s="13">
        <f t="shared" si="7"/>
        <v>319</v>
      </c>
      <c r="AI6" s="11">
        <f t="shared" si="8"/>
        <v>5</v>
      </c>
      <c r="AJ6" s="12">
        <f t="shared" si="9"/>
        <v>63.8</v>
      </c>
      <c r="AK6" s="74"/>
      <c r="AL6" s="119">
        <f t="shared" si="10"/>
        <v>651</v>
      </c>
      <c r="AM6" s="91">
        <f t="shared" si="11"/>
        <v>11</v>
      </c>
      <c r="AN6" s="91">
        <f t="shared" si="12"/>
        <v>59.18181818181818</v>
      </c>
      <c r="AO6" s="244">
        <f t="shared" si="13"/>
        <v>87.032085561497325</v>
      </c>
      <c r="AP6" s="248">
        <f t="shared" si="14"/>
        <v>87.032085561497325</v>
      </c>
    </row>
    <row r="7" spans="1:48" s="10" customFormat="1" ht="20.100000000000001" customHeight="1">
      <c r="A7" s="26" t="s">
        <v>155</v>
      </c>
      <c r="B7" s="67">
        <v>24</v>
      </c>
      <c r="C7" s="157">
        <v>35</v>
      </c>
      <c r="D7" s="158">
        <v>28</v>
      </c>
      <c r="E7" s="158"/>
      <c r="F7" s="158"/>
      <c r="G7" s="158"/>
      <c r="H7" s="158">
        <v>21</v>
      </c>
      <c r="I7" s="158">
        <v>35</v>
      </c>
      <c r="J7" s="158"/>
      <c r="K7" s="158"/>
      <c r="L7" s="158"/>
      <c r="M7" s="158">
        <v>19</v>
      </c>
      <c r="N7" s="158">
        <v>27</v>
      </c>
      <c r="O7" s="159">
        <v>20</v>
      </c>
      <c r="P7" s="13">
        <f t="shared" si="3"/>
        <v>185</v>
      </c>
      <c r="Q7" s="11">
        <f t="shared" si="4"/>
        <v>7</v>
      </c>
      <c r="R7" s="91">
        <f t="shared" si="5"/>
        <v>26.428571428571427</v>
      </c>
      <c r="S7" s="244">
        <f t="shared" si="6"/>
        <v>110.11904761904762</v>
      </c>
      <c r="T7" s="67">
        <v>24</v>
      </c>
      <c r="U7" s="157">
        <v>20</v>
      </c>
      <c r="V7" s="158"/>
      <c r="W7" s="158"/>
      <c r="X7" s="158">
        <v>18</v>
      </c>
      <c r="Y7" s="158">
        <v>25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63</v>
      </c>
      <c r="AI7" s="11">
        <f t="shared" si="8"/>
        <v>3</v>
      </c>
      <c r="AJ7" s="12">
        <f t="shared" si="9"/>
        <v>21</v>
      </c>
      <c r="AK7" s="74"/>
      <c r="AL7" s="119">
        <f t="shared" si="10"/>
        <v>248</v>
      </c>
      <c r="AM7" s="91">
        <f t="shared" si="11"/>
        <v>10</v>
      </c>
      <c r="AN7" s="91">
        <f t="shared" si="12"/>
        <v>24.8</v>
      </c>
      <c r="AO7" s="244">
        <f t="shared" si="13"/>
        <v>103.33333333333334</v>
      </c>
      <c r="AP7" s="248">
        <f t="shared" si="14"/>
        <v>103.33333333333334</v>
      </c>
    </row>
    <row r="8" spans="1:48" s="10" customFormat="1" ht="20.100000000000001" customHeight="1">
      <c r="A8" s="26" t="s">
        <v>312</v>
      </c>
      <c r="B8" s="67">
        <v>33</v>
      </c>
      <c r="C8" s="157"/>
      <c r="D8" s="158">
        <v>30</v>
      </c>
      <c r="E8" s="158">
        <v>27</v>
      </c>
      <c r="F8" s="158"/>
      <c r="G8" s="158">
        <v>40</v>
      </c>
      <c r="H8" s="158">
        <v>30</v>
      </c>
      <c r="I8" s="158"/>
      <c r="J8" s="158"/>
      <c r="K8" s="158">
        <v>25</v>
      </c>
      <c r="L8" s="158">
        <v>21</v>
      </c>
      <c r="M8" s="158"/>
      <c r="N8" s="158"/>
      <c r="O8" s="159">
        <v>36</v>
      </c>
      <c r="P8" s="13">
        <f t="shared" si="3"/>
        <v>209</v>
      </c>
      <c r="Q8" s="11">
        <f t="shared" si="4"/>
        <v>7</v>
      </c>
      <c r="R8" s="91">
        <f t="shared" si="5"/>
        <v>29.857142857142858</v>
      </c>
      <c r="S8" s="244">
        <f t="shared" si="6"/>
        <v>90.476190476190482</v>
      </c>
      <c r="T8" s="67">
        <v>33</v>
      </c>
      <c r="U8" s="157"/>
      <c r="V8" s="158"/>
      <c r="W8" s="158">
        <v>39</v>
      </c>
      <c r="X8" s="158">
        <v>37</v>
      </c>
      <c r="Y8" s="158">
        <v>44</v>
      </c>
      <c r="Z8" s="158">
        <v>46</v>
      </c>
      <c r="AA8" s="158">
        <v>30</v>
      </c>
      <c r="AB8" s="158"/>
      <c r="AC8" s="158"/>
      <c r="AD8" s="158"/>
      <c r="AE8" s="158"/>
      <c r="AF8" s="158"/>
      <c r="AG8" s="159"/>
      <c r="AH8" s="13">
        <f t="shared" si="7"/>
        <v>196</v>
      </c>
      <c r="AI8" s="11">
        <f t="shared" si="8"/>
        <v>5</v>
      </c>
      <c r="AJ8" s="12">
        <f t="shared" si="9"/>
        <v>39.200000000000003</v>
      </c>
      <c r="AK8" s="74"/>
      <c r="AL8" s="119">
        <f t="shared" si="10"/>
        <v>405</v>
      </c>
      <c r="AM8" s="91">
        <f t="shared" si="11"/>
        <v>12</v>
      </c>
      <c r="AN8" s="91">
        <f t="shared" si="12"/>
        <v>33.75</v>
      </c>
      <c r="AO8" s="244">
        <f t="shared" si="13"/>
        <v>102.27272727272727</v>
      </c>
      <c r="AP8" s="248">
        <f t="shared" si="14"/>
        <v>102.27272727272727</v>
      </c>
    </row>
    <row r="9" spans="1:48" s="10" customFormat="1" ht="20.100000000000001" customHeight="1">
      <c r="A9" s="26" t="s">
        <v>372</v>
      </c>
      <c r="B9" s="67">
        <v>21</v>
      </c>
      <c r="C9" s="157">
        <v>30</v>
      </c>
      <c r="D9" s="158"/>
      <c r="E9" s="158">
        <v>20</v>
      </c>
      <c r="F9" s="158"/>
      <c r="G9" s="158">
        <v>19</v>
      </c>
      <c r="H9" s="158"/>
      <c r="I9" s="158">
        <v>19</v>
      </c>
      <c r="J9" s="158">
        <v>29</v>
      </c>
      <c r="K9" s="158"/>
      <c r="L9" s="158">
        <v>16</v>
      </c>
      <c r="M9" s="158">
        <v>16</v>
      </c>
      <c r="N9" s="158">
        <v>15</v>
      </c>
      <c r="O9" s="159">
        <v>26</v>
      </c>
      <c r="P9" s="13">
        <f t="shared" si="3"/>
        <v>190</v>
      </c>
      <c r="Q9" s="11">
        <f t="shared" si="4"/>
        <v>9</v>
      </c>
      <c r="R9" s="91">
        <f t="shared" si="5"/>
        <v>21.111111111111111</v>
      </c>
      <c r="S9" s="244">
        <f t="shared" si="6"/>
        <v>100.52910052910053</v>
      </c>
      <c r="T9" s="67">
        <v>21</v>
      </c>
      <c r="U9" s="157">
        <v>16</v>
      </c>
      <c r="V9" s="158">
        <v>12</v>
      </c>
      <c r="W9" s="158"/>
      <c r="X9" s="158">
        <v>31</v>
      </c>
      <c r="Y9" s="158"/>
      <c r="Z9" s="158"/>
      <c r="AA9" s="158">
        <v>14</v>
      </c>
      <c r="AB9" s="158"/>
      <c r="AC9" s="158"/>
      <c r="AD9" s="158"/>
      <c r="AE9" s="158"/>
      <c r="AF9" s="158"/>
      <c r="AG9" s="159"/>
      <c r="AH9" s="13">
        <f t="shared" si="7"/>
        <v>73</v>
      </c>
      <c r="AI9" s="11">
        <f t="shared" si="8"/>
        <v>4</v>
      </c>
      <c r="AJ9" s="12">
        <f t="shared" si="9"/>
        <v>18.25</v>
      </c>
      <c r="AK9" s="74"/>
      <c r="AL9" s="119">
        <f t="shared" si="10"/>
        <v>263</v>
      </c>
      <c r="AM9" s="91">
        <f t="shared" si="11"/>
        <v>13</v>
      </c>
      <c r="AN9" s="91">
        <f t="shared" si="12"/>
        <v>20.23076923076923</v>
      </c>
      <c r="AO9" s="244">
        <f t="shared" si="13"/>
        <v>96.336996336996336</v>
      </c>
      <c r="AP9" s="248">
        <f t="shared" si="14"/>
        <v>96.336996336996336</v>
      </c>
      <c r="AV9" s="303"/>
    </row>
    <row r="10" spans="1:48" s="10" customFormat="1" ht="20.100000000000001" customHeight="1">
      <c r="A10" s="26" t="s">
        <v>156</v>
      </c>
      <c r="B10" s="67">
        <v>23</v>
      </c>
      <c r="C10" s="157">
        <v>35</v>
      </c>
      <c r="D10" s="158">
        <v>31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9"/>
      <c r="P10" s="13">
        <f t="shared" si="3"/>
        <v>66</v>
      </c>
      <c r="Q10" s="11">
        <f t="shared" si="4"/>
        <v>2</v>
      </c>
      <c r="R10" s="91">
        <f t="shared" si="5"/>
        <v>33</v>
      </c>
      <c r="S10" s="244">
        <f t="shared" si="6"/>
        <v>143.47826086956522</v>
      </c>
      <c r="T10" s="67">
        <v>23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66</v>
      </c>
      <c r="AM10" s="91">
        <f t="shared" si="11"/>
        <v>2</v>
      </c>
      <c r="AN10" s="91">
        <f t="shared" si="12"/>
        <v>33</v>
      </c>
      <c r="AO10" s="244">
        <f t="shared" si="13"/>
        <v>143.47826086956522</v>
      </c>
      <c r="AP10" s="248" t="str">
        <f t="shared" si="14"/>
        <v>0</v>
      </c>
    </row>
    <row r="11" spans="1:48" s="10" customFormat="1" ht="20.100000000000001" customHeight="1">
      <c r="A11" s="26" t="s">
        <v>157</v>
      </c>
      <c r="B11" s="67">
        <v>27</v>
      </c>
      <c r="C11" s="157"/>
      <c r="D11" s="158">
        <v>15</v>
      </c>
      <c r="E11" s="158">
        <v>13</v>
      </c>
      <c r="F11" s="158">
        <v>22</v>
      </c>
      <c r="G11" s="158">
        <v>28</v>
      </c>
      <c r="H11" s="158">
        <v>23</v>
      </c>
      <c r="I11" s="158"/>
      <c r="J11" s="158"/>
      <c r="K11" s="158">
        <v>25</v>
      </c>
      <c r="L11" s="158"/>
      <c r="M11" s="158">
        <v>13</v>
      </c>
      <c r="N11" s="158"/>
      <c r="O11" s="159">
        <v>22</v>
      </c>
      <c r="P11" s="13">
        <f t="shared" si="3"/>
        <v>161</v>
      </c>
      <c r="Q11" s="11">
        <f t="shared" si="4"/>
        <v>8</v>
      </c>
      <c r="R11" s="91">
        <f t="shared" si="5"/>
        <v>20.125</v>
      </c>
      <c r="S11" s="244">
        <f t="shared" si="6"/>
        <v>74.537037037037038</v>
      </c>
      <c r="T11" s="67">
        <v>27</v>
      </c>
      <c r="U11" s="157"/>
      <c r="V11" s="158">
        <v>27</v>
      </c>
      <c r="W11" s="158">
        <v>37</v>
      </c>
      <c r="X11" s="158"/>
      <c r="Y11" s="158">
        <v>31</v>
      </c>
      <c r="Z11" s="158">
        <v>28</v>
      </c>
      <c r="AA11" s="158">
        <v>25</v>
      </c>
      <c r="AB11" s="158"/>
      <c r="AC11" s="158"/>
      <c r="AD11" s="158"/>
      <c r="AE11" s="158"/>
      <c r="AF11" s="158"/>
      <c r="AG11" s="159"/>
      <c r="AH11" s="13">
        <f t="shared" si="7"/>
        <v>148</v>
      </c>
      <c r="AI11" s="11">
        <f t="shared" si="8"/>
        <v>5</v>
      </c>
      <c r="AJ11" s="12">
        <f t="shared" si="9"/>
        <v>29.6</v>
      </c>
      <c r="AK11" s="74"/>
      <c r="AL11" s="119">
        <f t="shared" si="10"/>
        <v>309</v>
      </c>
      <c r="AM11" s="91">
        <f t="shared" si="11"/>
        <v>13</v>
      </c>
      <c r="AN11" s="91">
        <f t="shared" si="12"/>
        <v>23.76923076923077</v>
      </c>
      <c r="AO11" s="244">
        <f t="shared" si="13"/>
        <v>88.034188034188034</v>
      </c>
      <c r="AP11" s="248">
        <f t="shared" si="14"/>
        <v>88.034188034188034</v>
      </c>
    </row>
    <row r="12" spans="1:48" s="10" customFormat="1" ht="20.100000000000001" customHeight="1">
      <c r="A12" s="26" t="s">
        <v>158</v>
      </c>
      <c r="B12" s="67">
        <v>34</v>
      </c>
      <c r="C12" s="157"/>
      <c r="D12" s="158"/>
      <c r="E12" s="158">
        <v>46</v>
      </c>
      <c r="F12" s="158">
        <v>27</v>
      </c>
      <c r="G12" s="158">
        <v>25</v>
      </c>
      <c r="H12" s="158">
        <v>25</v>
      </c>
      <c r="I12" s="158">
        <v>53</v>
      </c>
      <c r="J12" s="158">
        <v>23</v>
      </c>
      <c r="K12" s="158">
        <v>39</v>
      </c>
      <c r="L12" s="158">
        <v>22</v>
      </c>
      <c r="M12" s="158">
        <v>14</v>
      </c>
      <c r="N12" s="158">
        <v>33</v>
      </c>
      <c r="O12" s="159">
        <v>22</v>
      </c>
      <c r="P12" s="13">
        <f t="shared" si="3"/>
        <v>329</v>
      </c>
      <c r="Q12" s="11">
        <f t="shared" si="4"/>
        <v>11</v>
      </c>
      <c r="R12" s="91">
        <f t="shared" si="5"/>
        <v>29.90909090909091</v>
      </c>
      <c r="S12" s="244">
        <f t="shared" si="6"/>
        <v>87.967914438502675</v>
      </c>
      <c r="T12" s="67">
        <v>34</v>
      </c>
      <c r="U12" s="157">
        <v>40</v>
      </c>
      <c r="V12" s="158">
        <v>19</v>
      </c>
      <c r="W12" s="158">
        <v>38</v>
      </c>
      <c r="X12" s="158">
        <v>21</v>
      </c>
      <c r="Y12" s="158">
        <v>59</v>
      </c>
      <c r="Z12" s="158">
        <v>29</v>
      </c>
      <c r="AA12" s="158"/>
      <c r="AB12" s="158"/>
      <c r="AC12" s="158"/>
      <c r="AD12" s="158"/>
      <c r="AE12" s="158"/>
      <c r="AF12" s="158"/>
      <c r="AG12" s="159"/>
      <c r="AH12" s="13">
        <f t="shared" si="7"/>
        <v>206</v>
      </c>
      <c r="AI12" s="11">
        <f t="shared" si="8"/>
        <v>6</v>
      </c>
      <c r="AJ12" s="12">
        <f t="shared" si="9"/>
        <v>34.333333333333336</v>
      </c>
      <c r="AK12" s="74"/>
      <c r="AL12" s="119">
        <f t="shared" si="10"/>
        <v>535</v>
      </c>
      <c r="AM12" s="91">
        <f t="shared" si="11"/>
        <v>17</v>
      </c>
      <c r="AN12" s="91">
        <f t="shared" si="12"/>
        <v>31.470588235294116</v>
      </c>
      <c r="AO12" s="244">
        <f t="shared" si="13"/>
        <v>92.560553633217992</v>
      </c>
      <c r="AP12" s="248">
        <f t="shared" si="14"/>
        <v>92.560553633217992</v>
      </c>
    </row>
    <row r="13" spans="1:48" s="10" customFormat="1" ht="20.100000000000001" customHeight="1">
      <c r="A13" s="26" t="s">
        <v>159</v>
      </c>
      <c r="B13" s="67">
        <v>35</v>
      </c>
      <c r="C13" s="157"/>
      <c r="D13" s="158">
        <v>26</v>
      </c>
      <c r="E13" s="158"/>
      <c r="F13" s="158">
        <v>25</v>
      </c>
      <c r="G13" s="158"/>
      <c r="H13" s="158">
        <v>24</v>
      </c>
      <c r="I13" s="158">
        <v>31</v>
      </c>
      <c r="J13" s="158">
        <v>31</v>
      </c>
      <c r="K13" s="158">
        <v>40</v>
      </c>
      <c r="L13" s="158">
        <v>21</v>
      </c>
      <c r="M13" s="158"/>
      <c r="N13" s="158">
        <v>32</v>
      </c>
      <c r="O13" s="159">
        <v>24</v>
      </c>
      <c r="P13" s="13">
        <f t="shared" si="3"/>
        <v>254</v>
      </c>
      <c r="Q13" s="11">
        <f t="shared" si="4"/>
        <v>9</v>
      </c>
      <c r="R13" s="91">
        <f t="shared" si="5"/>
        <v>28.222222222222221</v>
      </c>
      <c r="S13" s="244">
        <f t="shared" si="6"/>
        <v>80.634920634920633</v>
      </c>
      <c r="T13" s="67">
        <v>35</v>
      </c>
      <c r="U13" s="157"/>
      <c r="V13" s="158">
        <v>26</v>
      </c>
      <c r="W13" s="158">
        <v>24</v>
      </c>
      <c r="X13" s="158"/>
      <c r="Y13" s="158"/>
      <c r="Z13" s="158">
        <v>44</v>
      </c>
      <c r="AA13" s="158">
        <v>28</v>
      </c>
      <c r="AB13" s="158"/>
      <c r="AC13" s="158"/>
      <c r="AD13" s="158"/>
      <c r="AE13" s="158"/>
      <c r="AF13" s="158"/>
      <c r="AG13" s="159"/>
      <c r="AH13" s="13">
        <f t="shared" si="7"/>
        <v>122</v>
      </c>
      <c r="AI13" s="11">
        <f t="shared" si="8"/>
        <v>4</v>
      </c>
      <c r="AJ13" s="12">
        <f t="shared" si="9"/>
        <v>30.5</v>
      </c>
      <c r="AK13" s="74"/>
      <c r="AL13" s="119">
        <f t="shared" si="10"/>
        <v>376</v>
      </c>
      <c r="AM13" s="91">
        <f t="shared" si="11"/>
        <v>13</v>
      </c>
      <c r="AN13" s="91">
        <f t="shared" si="12"/>
        <v>28.923076923076923</v>
      </c>
      <c r="AO13" s="244">
        <f t="shared" si="13"/>
        <v>82.637362637362628</v>
      </c>
      <c r="AP13" s="248">
        <f t="shared" si="14"/>
        <v>82.637362637362628</v>
      </c>
    </row>
    <row r="14" spans="1:48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4" t="str">
        <f t="shared" si="6"/>
        <v xml:space="preserve"> </v>
      </c>
      <c r="T14" s="69">
        <f t="shared" ref="T14:T18" si="15">B14</f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4" t="str">
        <f t="shared" si="13"/>
        <v xml:space="preserve"> </v>
      </c>
      <c r="AP14" s="248" t="str">
        <f t="shared" si="14"/>
        <v>0</v>
      </c>
    </row>
    <row r="15" spans="1:48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4" t="str">
        <f t="shared" si="6"/>
        <v xml:space="preserve"> </v>
      </c>
      <c r="T15" s="69">
        <f t="shared" si="15"/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4" t="str">
        <f t="shared" si="13"/>
        <v xml:space="preserve"> </v>
      </c>
      <c r="AP15" s="248" t="str">
        <f t="shared" si="14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9">
        <f t="shared" si="15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53">
        <f>COUNT(B4:B18)</f>
        <v>15</v>
      </c>
      <c r="B19" s="174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3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230</v>
      </c>
      <c r="Z19" s="19">
        <f t="shared" si="18"/>
        <v>220</v>
      </c>
      <c r="AA19" s="19">
        <f t="shared" si="18"/>
        <v>112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1326</v>
      </c>
      <c r="AI19" s="18">
        <f>SUM(AI4:AI18)</f>
        <v>42</v>
      </c>
      <c r="AJ19" s="23">
        <f>AH19/AI19</f>
        <v>31.571428571428573</v>
      </c>
      <c r="AK19" s="75"/>
      <c r="AL19" s="24">
        <f>SUM(AL4:AL18)</f>
        <v>3376</v>
      </c>
      <c r="AM19" s="18">
        <f>SUM(AM4:AM18)</f>
        <v>120</v>
      </c>
      <c r="AN19" s="18">
        <f t="shared" ref="AN19" si="19">AL19/AM19</f>
        <v>28.133333333333333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V19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70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31</v>
      </c>
      <c r="B2" s="333" t="s">
        <v>42</v>
      </c>
      <c r="C2" s="335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160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22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296</v>
      </c>
      <c r="B4" s="131">
        <v>15</v>
      </c>
      <c r="C4" s="154"/>
      <c r="D4" s="155">
        <v>16</v>
      </c>
      <c r="E4" s="155"/>
      <c r="F4" s="155">
        <v>20</v>
      </c>
      <c r="G4" s="155"/>
      <c r="H4" s="155"/>
      <c r="I4" s="155"/>
      <c r="J4" s="155"/>
      <c r="K4" s="155">
        <v>18</v>
      </c>
      <c r="L4" s="155"/>
      <c r="M4" s="155"/>
      <c r="N4" s="155">
        <v>16</v>
      </c>
      <c r="O4" s="156">
        <v>11</v>
      </c>
      <c r="P4" s="9">
        <f>SUM(C4:O4)</f>
        <v>81</v>
      </c>
      <c r="Q4" s="8">
        <f>COUNTIF(C4:O4,"&gt;0")</f>
        <v>5</v>
      </c>
      <c r="R4" s="118">
        <f>IF(P4=0," ",P4/Q4)</f>
        <v>16.2</v>
      </c>
      <c r="S4" s="243">
        <f t="shared" ref="S4" si="0">IF(P4=0," ",P4/(Q4*T4)*100)</f>
        <v>108</v>
      </c>
      <c r="T4" s="67">
        <v>15</v>
      </c>
      <c r="U4" s="154"/>
      <c r="V4" s="155">
        <v>9</v>
      </c>
      <c r="W4" s="155">
        <v>13</v>
      </c>
      <c r="X4" s="155"/>
      <c r="Y4" s="155">
        <v>17</v>
      </c>
      <c r="Z4" s="155"/>
      <c r="AA4" s="155">
        <v>8</v>
      </c>
      <c r="AB4" s="155"/>
      <c r="AC4" s="155"/>
      <c r="AD4" s="155"/>
      <c r="AE4" s="155"/>
      <c r="AF4" s="155"/>
      <c r="AG4" s="156"/>
      <c r="AH4" s="9">
        <f>SUM(U4:AG4)</f>
        <v>47</v>
      </c>
      <c r="AI4" s="8">
        <f>COUNTIF(U4:AG4,"&gt;0")</f>
        <v>4</v>
      </c>
      <c r="AJ4" s="90">
        <f>IF(AH4=0," ",AH4/AI4)</f>
        <v>11.75</v>
      </c>
      <c r="AK4" s="74"/>
      <c r="AL4" s="117">
        <f>P4+AH4</f>
        <v>128</v>
      </c>
      <c r="AM4" s="118">
        <f>Q4+AI4</f>
        <v>9</v>
      </c>
      <c r="AN4" s="118">
        <f>IF(AL4=0," ",AL4/AM4)</f>
        <v>14.222222222222221</v>
      </c>
      <c r="AO4" s="243">
        <f>IF(AL4=0," ",AL4/(AM4*T4)*100)</f>
        <v>94.814814814814824</v>
      </c>
      <c r="AP4" s="248">
        <f>IF($AM4&gt;=$AP$1,$AL4/($AM4*$T4)*100,"0")</f>
        <v>94.814814814814824</v>
      </c>
    </row>
    <row r="5" spans="1:48" s="10" customFormat="1" ht="20.100000000000001" customHeight="1">
      <c r="A5" s="26" t="s">
        <v>297</v>
      </c>
      <c r="B5" s="67">
        <v>59</v>
      </c>
      <c r="C5" s="157"/>
      <c r="D5" s="158">
        <v>60</v>
      </c>
      <c r="E5" s="158"/>
      <c r="F5" s="158"/>
      <c r="G5" s="158">
        <v>58</v>
      </c>
      <c r="H5" s="158">
        <v>57</v>
      </c>
      <c r="I5" s="158"/>
      <c r="J5" s="158">
        <v>47</v>
      </c>
      <c r="K5" s="158">
        <v>48</v>
      </c>
      <c r="L5" s="158"/>
      <c r="M5" s="158">
        <v>57</v>
      </c>
      <c r="N5" s="158"/>
      <c r="O5" s="159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1">
        <f t="shared" ref="R5:R18" si="3">IF(P5=0," ",P5/Q5)</f>
        <v>55.428571428571431</v>
      </c>
      <c r="S5" s="244">
        <f t="shared" ref="S5:S18" si="4">IF(P5=0," ",P5/(Q5*T5)*100)</f>
        <v>93.946731234866832</v>
      </c>
      <c r="T5" s="67">
        <v>59</v>
      </c>
      <c r="U5" s="157"/>
      <c r="V5" s="158"/>
      <c r="W5" s="158">
        <v>54</v>
      </c>
      <c r="X5" s="158">
        <v>76</v>
      </c>
      <c r="Y5" s="158">
        <v>48</v>
      </c>
      <c r="Z5" s="158">
        <v>97</v>
      </c>
      <c r="AA5" s="158">
        <v>48</v>
      </c>
      <c r="AB5" s="158"/>
      <c r="AC5" s="158"/>
      <c r="AD5" s="158"/>
      <c r="AE5" s="158"/>
      <c r="AF5" s="158"/>
      <c r="AG5" s="159"/>
      <c r="AH5" s="13">
        <f t="shared" ref="AH5:AH18" si="5">SUM(U5:AG5)</f>
        <v>323</v>
      </c>
      <c r="AI5" s="11">
        <f t="shared" ref="AI5:AI18" si="6">COUNTIF(U5:AG5,"&gt;0")</f>
        <v>5</v>
      </c>
      <c r="AJ5" s="12">
        <f t="shared" ref="AJ5:AJ18" si="7">IF(AH5=0," ",AH5/AI5)</f>
        <v>64.599999999999994</v>
      </c>
      <c r="AK5" s="74"/>
      <c r="AL5" s="119">
        <f t="shared" ref="AL5:AL18" si="8">P5+AH5</f>
        <v>711</v>
      </c>
      <c r="AM5" s="91">
        <f t="shared" ref="AM5:AM18" si="9">Q5+AI5</f>
        <v>12</v>
      </c>
      <c r="AN5" s="91">
        <f t="shared" ref="AN5:AN18" si="10">IF(AL5=0," ",AL5/AM5)</f>
        <v>59.25</v>
      </c>
      <c r="AO5" s="244">
        <f t="shared" ref="AO5:AO18" si="11">IF(AL5=0," ",AL5/(AM5*T5)*100)</f>
        <v>100.42372881355932</v>
      </c>
      <c r="AP5" s="248">
        <f t="shared" ref="AP5:AP18" si="12">IF($AM5&gt;=$AP$1,$AL5/($AM5*$T5)*100,"0")</f>
        <v>100.42372881355932</v>
      </c>
    </row>
    <row r="6" spans="1:48" s="10" customFormat="1" ht="20.100000000000001" customHeight="1">
      <c r="A6" s="26" t="s">
        <v>298</v>
      </c>
      <c r="B6" s="67">
        <v>25</v>
      </c>
      <c r="C6" s="157">
        <v>28</v>
      </c>
      <c r="D6" s="158"/>
      <c r="E6" s="158">
        <v>31</v>
      </c>
      <c r="F6" s="158">
        <v>40</v>
      </c>
      <c r="G6" s="158">
        <v>36</v>
      </c>
      <c r="H6" s="158">
        <v>20</v>
      </c>
      <c r="I6" s="158">
        <v>30</v>
      </c>
      <c r="J6" s="158"/>
      <c r="K6" s="158">
        <v>39</v>
      </c>
      <c r="L6" s="158"/>
      <c r="M6" s="158">
        <v>43</v>
      </c>
      <c r="N6" s="158">
        <v>30</v>
      </c>
      <c r="O6" s="159"/>
      <c r="P6" s="13">
        <f t="shared" si="1"/>
        <v>297</v>
      </c>
      <c r="Q6" s="11">
        <f t="shared" si="2"/>
        <v>9</v>
      </c>
      <c r="R6" s="91">
        <f t="shared" si="3"/>
        <v>33</v>
      </c>
      <c r="S6" s="244">
        <f t="shared" si="4"/>
        <v>132</v>
      </c>
      <c r="T6" s="67">
        <v>25</v>
      </c>
      <c r="U6" s="157">
        <v>30</v>
      </c>
      <c r="V6" s="158">
        <v>30</v>
      </c>
      <c r="W6" s="158">
        <v>30</v>
      </c>
      <c r="X6" s="158">
        <v>28</v>
      </c>
      <c r="Y6" s="158">
        <v>20</v>
      </c>
      <c r="Z6" s="158"/>
      <c r="AA6" s="158">
        <v>30</v>
      </c>
      <c r="AB6" s="158"/>
      <c r="AC6" s="158"/>
      <c r="AD6" s="158"/>
      <c r="AE6" s="158"/>
      <c r="AF6" s="158"/>
      <c r="AG6" s="159"/>
      <c r="AH6" s="13">
        <f t="shared" si="5"/>
        <v>168</v>
      </c>
      <c r="AI6" s="11">
        <f t="shared" si="6"/>
        <v>6</v>
      </c>
      <c r="AJ6" s="12">
        <f t="shared" si="7"/>
        <v>28</v>
      </c>
      <c r="AK6" s="74"/>
      <c r="AL6" s="119">
        <f t="shared" si="8"/>
        <v>465</v>
      </c>
      <c r="AM6" s="91">
        <f t="shared" si="9"/>
        <v>15</v>
      </c>
      <c r="AN6" s="91">
        <f t="shared" si="10"/>
        <v>31</v>
      </c>
      <c r="AO6" s="244">
        <f t="shared" si="11"/>
        <v>124</v>
      </c>
      <c r="AP6" s="248">
        <f t="shared" si="12"/>
        <v>124</v>
      </c>
    </row>
    <row r="7" spans="1:48" s="10" customFormat="1" ht="20.100000000000001" customHeight="1">
      <c r="A7" s="26" t="s">
        <v>373</v>
      </c>
      <c r="B7" s="67">
        <v>31</v>
      </c>
      <c r="C7" s="157">
        <v>31</v>
      </c>
      <c r="D7" s="158"/>
      <c r="E7" s="158">
        <v>43</v>
      </c>
      <c r="F7" s="158"/>
      <c r="G7" s="158">
        <v>40</v>
      </c>
      <c r="H7" s="158">
        <v>20</v>
      </c>
      <c r="I7" s="158">
        <v>31</v>
      </c>
      <c r="J7" s="158"/>
      <c r="K7" s="158">
        <v>40</v>
      </c>
      <c r="L7" s="158">
        <v>31</v>
      </c>
      <c r="M7" s="158"/>
      <c r="N7" s="158">
        <v>26</v>
      </c>
      <c r="O7" s="159"/>
      <c r="P7" s="13">
        <f t="shared" si="1"/>
        <v>262</v>
      </c>
      <c r="Q7" s="11">
        <f t="shared" si="2"/>
        <v>8</v>
      </c>
      <c r="R7" s="91">
        <f t="shared" si="3"/>
        <v>32.75</v>
      </c>
      <c r="S7" s="244">
        <f t="shared" si="4"/>
        <v>105.64516129032258</v>
      </c>
      <c r="T7" s="67">
        <v>31</v>
      </c>
      <c r="U7" s="157">
        <v>29</v>
      </c>
      <c r="V7" s="158"/>
      <c r="W7" s="158"/>
      <c r="X7" s="158"/>
      <c r="Y7" s="158">
        <v>17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46</v>
      </c>
      <c r="AI7" s="11">
        <f t="shared" si="6"/>
        <v>2</v>
      </c>
      <c r="AJ7" s="12">
        <f t="shared" si="7"/>
        <v>23</v>
      </c>
      <c r="AK7" s="74"/>
      <c r="AL7" s="119">
        <f t="shared" si="8"/>
        <v>308</v>
      </c>
      <c r="AM7" s="91">
        <f t="shared" si="9"/>
        <v>10</v>
      </c>
      <c r="AN7" s="91">
        <f t="shared" si="10"/>
        <v>30.8</v>
      </c>
      <c r="AO7" s="244">
        <f t="shared" si="11"/>
        <v>99.354838709677423</v>
      </c>
      <c r="AP7" s="248">
        <f t="shared" si="12"/>
        <v>99.354838709677423</v>
      </c>
    </row>
    <row r="8" spans="1:48" s="10" customFormat="1" ht="20.100000000000001" customHeight="1">
      <c r="A8" s="66" t="s">
        <v>161</v>
      </c>
      <c r="B8" s="67">
        <v>40</v>
      </c>
      <c r="C8" s="157"/>
      <c r="D8" s="158">
        <v>32</v>
      </c>
      <c r="E8" s="158">
        <v>47</v>
      </c>
      <c r="F8" s="158"/>
      <c r="G8" s="158">
        <v>34</v>
      </c>
      <c r="H8" s="158">
        <v>56</v>
      </c>
      <c r="I8" s="158"/>
      <c r="J8" s="158">
        <v>45</v>
      </c>
      <c r="K8" s="158"/>
      <c r="L8" s="158">
        <v>53</v>
      </c>
      <c r="M8" s="158"/>
      <c r="N8" s="158"/>
      <c r="O8" s="159">
        <v>29</v>
      </c>
      <c r="P8" s="13">
        <f t="shared" si="1"/>
        <v>296</v>
      </c>
      <c r="Q8" s="11">
        <f t="shared" si="2"/>
        <v>7</v>
      </c>
      <c r="R8" s="91">
        <f t="shared" si="3"/>
        <v>42.285714285714285</v>
      </c>
      <c r="S8" s="244">
        <f t="shared" si="4"/>
        <v>105.71428571428572</v>
      </c>
      <c r="T8" s="67">
        <v>40</v>
      </c>
      <c r="U8" s="157">
        <v>38</v>
      </c>
      <c r="V8" s="158">
        <v>44</v>
      </c>
      <c r="W8" s="158">
        <v>34</v>
      </c>
      <c r="X8" s="158">
        <v>29</v>
      </c>
      <c r="Y8" s="158"/>
      <c r="Z8" s="158">
        <v>37</v>
      </c>
      <c r="AA8" s="158"/>
      <c r="AB8" s="158"/>
      <c r="AC8" s="158"/>
      <c r="AD8" s="158"/>
      <c r="AE8" s="158"/>
      <c r="AF8" s="158"/>
      <c r="AG8" s="159"/>
      <c r="AH8" s="13">
        <f t="shared" si="5"/>
        <v>182</v>
      </c>
      <c r="AI8" s="11">
        <f t="shared" si="6"/>
        <v>5</v>
      </c>
      <c r="AJ8" s="12">
        <f t="shared" si="7"/>
        <v>36.4</v>
      </c>
      <c r="AK8" s="74"/>
      <c r="AL8" s="119">
        <f t="shared" si="8"/>
        <v>478</v>
      </c>
      <c r="AM8" s="91">
        <f t="shared" si="9"/>
        <v>12</v>
      </c>
      <c r="AN8" s="91">
        <f t="shared" si="10"/>
        <v>39.833333333333336</v>
      </c>
      <c r="AO8" s="244">
        <f t="shared" si="11"/>
        <v>99.583333333333329</v>
      </c>
      <c r="AP8" s="248">
        <f t="shared" si="12"/>
        <v>99.583333333333329</v>
      </c>
    </row>
    <row r="9" spans="1:48" s="10" customFormat="1" ht="20.100000000000001" customHeight="1">
      <c r="A9" s="26" t="s">
        <v>299</v>
      </c>
      <c r="B9" s="67">
        <v>34</v>
      </c>
      <c r="C9" s="157">
        <v>27</v>
      </c>
      <c r="D9" s="158"/>
      <c r="E9" s="158"/>
      <c r="F9" s="158">
        <v>20</v>
      </c>
      <c r="G9" s="158"/>
      <c r="H9" s="158"/>
      <c r="I9" s="158">
        <v>29</v>
      </c>
      <c r="J9" s="158">
        <v>26</v>
      </c>
      <c r="K9" s="158"/>
      <c r="L9" s="158">
        <v>19</v>
      </c>
      <c r="M9" s="158"/>
      <c r="N9" s="158"/>
      <c r="O9" s="159"/>
      <c r="P9" s="13">
        <f t="shared" si="1"/>
        <v>121</v>
      </c>
      <c r="Q9" s="11">
        <f t="shared" si="2"/>
        <v>5</v>
      </c>
      <c r="R9" s="91">
        <f t="shared" si="3"/>
        <v>24.2</v>
      </c>
      <c r="S9" s="244">
        <f t="shared" si="4"/>
        <v>71.17647058823529</v>
      </c>
      <c r="T9" s="67">
        <v>34</v>
      </c>
      <c r="U9" s="157"/>
      <c r="V9" s="158">
        <v>33</v>
      </c>
      <c r="W9" s="158">
        <v>40</v>
      </c>
      <c r="X9" s="158"/>
      <c r="Y9" s="158"/>
      <c r="Z9" s="158">
        <v>35</v>
      </c>
      <c r="AA9" s="158"/>
      <c r="AB9" s="158"/>
      <c r="AC9" s="158"/>
      <c r="AD9" s="158"/>
      <c r="AE9" s="158"/>
      <c r="AF9" s="158"/>
      <c r="AG9" s="159"/>
      <c r="AH9" s="13">
        <f t="shared" si="5"/>
        <v>108</v>
      </c>
      <c r="AI9" s="11">
        <f t="shared" si="6"/>
        <v>3</v>
      </c>
      <c r="AJ9" s="12">
        <f t="shared" si="7"/>
        <v>36</v>
      </c>
      <c r="AK9" s="74"/>
      <c r="AL9" s="119">
        <f t="shared" si="8"/>
        <v>229</v>
      </c>
      <c r="AM9" s="91">
        <f t="shared" si="9"/>
        <v>8</v>
      </c>
      <c r="AN9" s="91">
        <f t="shared" si="10"/>
        <v>28.625</v>
      </c>
      <c r="AO9" s="244">
        <f t="shared" si="11"/>
        <v>84.191176470588232</v>
      </c>
      <c r="AP9" s="248">
        <f t="shared" si="12"/>
        <v>84.191176470588232</v>
      </c>
      <c r="AV9" s="303"/>
    </row>
    <row r="10" spans="1:48" s="10" customFormat="1" ht="20.100000000000001" customHeight="1">
      <c r="A10" s="26" t="s">
        <v>162</v>
      </c>
      <c r="B10" s="67">
        <v>35</v>
      </c>
      <c r="C10" s="157">
        <v>48</v>
      </c>
      <c r="D10" s="158">
        <v>27</v>
      </c>
      <c r="E10" s="158"/>
      <c r="F10" s="158">
        <v>29</v>
      </c>
      <c r="G10" s="158"/>
      <c r="H10" s="158">
        <v>24</v>
      </c>
      <c r="I10" s="158"/>
      <c r="J10" s="158"/>
      <c r="K10" s="158">
        <v>40</v>
      </c>
      <c r="L10" s="158">
        <v>28</v>
      </c>
      <c r="M10" s="158"/>
      <c r="N10" s="158">
        <v>46</v>
      </c>
      <c r="O10" s="159">
        <v>18</v>
      </c>
      <c r="P10" s="13">
        <f t="shared" si="1"/>
        <v>260</v>
      </c>
      <c r="Q10" s="11">
        <f t="shared" si="2"/>
        <v>8</v>
      </c>
      <c r="R10" s="91">
        <f t="shared" si="3"/>
        <v>32.5</v>
      </c>
      <c r="S10" s="244">
        <f t="shared" si="4"/>
        <v>92.857142857142861</v>
      </c>
      <c r="T10" s="67">
        <v>35</v>
      </c>
      <c r="U10" s="157"/>
      <c r="V10" s="158">
        <v>32</v>
      </c>
      <c r="W10" s="158"/>
      <c r="X10" s="158">
        <v>33</v>
      </c>
      <c r="Y10" s="158">
        <v>23</v>
      </c>
      <c r="Z10" s="158"/>
      <c r="AA10" s="158">
        <v>38</v>
      </c>
      <c r="AB10" s="158"/>
      <c r="AC10" s="158"/>
      <c r="AD10" s="158"/>
      <c r="AE10" s="158"/>
      <c r="AF10" s="158"/>
      <c r="AG10" s="159"/>
      <c r="AH10" s="13">
        <f t="shared" si="5"/>
        <v>126</v>
      </c>
      <c r="AI10" s="11">
        <f t="shared" si="6"/>
        <v>4</v>
      </c>
      <c r="AJ10" s="12">
        <f t="shared" si="7"/>
        <v>31.5</v>
      </c>
      <c r="AK10" s="74"/>
      <c r="AL10" s="119">
        <f t="shared" si="8"/>
        <v>386</v>
      </c>
      <c r="AM10" s="91">
        <f t="shared" si="9"/>
        <v>12</v>
      </c>
      <c r="AN10" s="91">
        <f t="shared" si="10"/>
        <v>32.166666666666664</v>
      </c>
      <c r="AO10" s="244">
        <f t="shared" si="11"/>
        <v>91.904761904761898</v>
      </c>
      <c r="AP10" s="248">
        <f t="shared" si="12"/>
        <v>91.904761904761898</v>
      </c>
    </row>
    <row r="11" spans="1:48" s="10" customFormat="1" ht="20.100000000000001" customHeight="1">
      <c r="A11" s="26" t="s">
        <v>163</v>
      </c>
      <c r="B11" s="67">
        <v>15</v>
      </c>
      <c r="C11" s="157">
        <v>19</v>
      </c>
      <c r="D11" s="158">
        <v>10</v>
      </c>
      <c r="E11" s="158">
        <v>9</v>
      </c>
      <c r="F11" s="158"/>
      <c r="G11" s="158"/>
      <c r="H11" s="158"/>
      <c r="I11" s="158">
        <v>13</v>
      </c>
      <c r="J11" s="158"/>
      <c r="K11" s="158"/>
      <c r="L11" s="158">
        <v>9</v>
      </c>
      <c r="M11" s="158">
        <v>13</v>
      </c>
      <c r="N11" s="158"/>
      <c r="O11" s="159">
        <v>13</v>
      </c>
      <c r="P11" s="13">
        <f t="shared" si="1"/>
        <v>86</v>
      </c>
      <c r="Q11" s="11">
        <f t="shared" si="2"/>
        <v>7</v>
      </c>
      <c r="R11" s="91">
        <f t="shared" si="3"/>
        <v>12.285714285714286</v>
      </c>
      <c r="S11" s="244">
        <f t="shared" si="4"/>
        <v>81.904761904761898</v>
      </c>
      <c r="T11" s="67">
        <v>15</v>
      </c>
      <c r="U11" s="157">
        <v>13</v>
      </c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37</v>
      </c>
      <c r="AI11" s="11">
        <f t="shared" si="6"/>
        <v>2</v>
      </c>
      <c r="AJ11" s="12">
        <f t="shared" si="7"/>
        <v>18.5</v>
      </c>
      <c r="AK11" s="74"/>
      <c r="AL11" s="119">
        <f t="shared" si="8"/>
        <v>123</v>
      </c>
      <c r="AM11" s="91">
        <f t="shared" si="9"/>
        <v>9</v>
      </c>
      <c r="AN11" s="91">
        <f t="shared" si="10"/>
        <v>13.666666666666666</v>
      </c>
      <c r="AO11" s="244">
        <f t="shared" si="11"/>
        <v>91.111111111111114</v>
      </c>
      <c r="AP11" s="248">
        <f t="shared" si="12"/>
        <v>91.111111111111114</v>
      </c>
    </row>
    <row r="12" spans="1:48" s="10" customFormat="1" ht="20.100000000000001" customHeight="1">
      <c r="A12" s="26" t="s">
        <v>300</v>
      </c>
      <c r="B12" s="67">
        <v>38</v>
      </c>
      <c r="C12" s="157">
        <v>24</v>
      </c>
      <c r="D12" s="158"/>
      <c r="E12" s="158">
        <v>50</v>
      </c>
      <c r="F12" s="158"/>
      <c r="G12" s="158">
        <v>36</v>
      </c>
      <c r="H12" s="158"/>
      <c r="I12" s="158"/>
      <c r="J12" s="158">
        <v>40</v>
      </c>
      <c r="K12" s="158">
        <v>45</v>
      </c>
      <c r="L12" s="158"/>
      <c r="M12" s="158">
        <v>60</v>
      </c>
      <c r="N12" s="158">
        <v>38</v>
      </c>
      <c r="O12" s="159"/>
      <c r="P12" s="13">
        <f t="shared" si="1"/>
        <v>293</v>
      </c>
      <c r="Q12" s="11">
        <f t="shared" si="2"/>
        <v>7</v>
      </c>
      <c r="R12" s="91">
        <f t="shared" si="3"/>
        <v>41.857142857142854</v>
      </c>
      <c r="S12" s="244">
        <f t="shared" si="4"/>
        <v>110.15037593984962</v>
      </c>
      <c r="T12" s="67">
        <v>38</v>
      </c>
      <c r="U12" s="157">
        <v>26</v>
      </c>
      <c r="V12" s="158"/>
      <c r="W12" s="158">
        <v>26</v>
      </c>
      <c r="X12" s="158"/>
      <c r="Y12" s="158"/>
      <c r="Z12" s="158">
        <v>45</v>
      </c>
      <c r="AA12" s="158">
        <v>25</v>
      </c>
      <c r="AB12" s="158"/>
      <c r="AC12" s="158"/>
      <c r="AD12" s="158"/>
      <c r="AE12" s="158"/>
      <c r="AF12" s="158"/>
      <c r="AG12" s="159"/>
      <c r="AH12" s="13">
        <f t="shared" si="5"/>
        <v>122</v>
      </c>
      <c r="AI12" s="11">
        <f t="shared" si="6"/>
        <v>4</v>
      </c>
      <c r="AJ12" s="12">
        <f t="shared" si="7"/>
        <v>30.5</v>
      </c>
      <c r="AK12" s="74"/>
      <c r="AL12" s="119">
        <f t="shared" si="8"/>
        <v>415</v>
      </c>
      <c r="AM12" s="91">
        <f t="shared" si="9"/>
        <v>11</v>
      </c>
      <c r="AN12" s="91">
        <f t="shared" si="10"/>
        <v>37.727272727272727</v>
      </c>
      <c r="AO12" s="244">
        <f t="shared" si="11"/>
        <v>99.282296650717711</v>
      </c>
      <c r="AP12" s="248">
        <f t="shared" si="12"/>
        <v>99.282296650717711</v>
      </c>
    </row>
    <row r="13" spans="1:48" s="10" customFormat="1" ht="20.100000000000001" customHeight="1">
      <c r="A13" s="26" t="s">
        <v>164</v>
      </c>
      <c r="B13" s="67">
        <v>24</v>
      </c>
      <c r="C13" s="157"/>
      <c r="D13" s="158"/>
      <c r="E13" s="158">
        <v>33</v>
      </c>
      <c r="F13" s="158">
        <v>20</v>
      </c>
      <c r="G13" s="158"/>
      <c r="H13" s="158">
        <v>31</v>
      </c>
      <c r="I13" s="158">
        <v>34</v>
      </c>
      <c r="J13" s="158">
        <v>21</v>
      </c>
      <c r="K13" s="158"/>
      <c r="L13" s="158">
        <v>19</v>
      </c>
      <c r="M13" s="158">
        <v>30</v>
      </c>
      <c r="N13" s="158">
        <v>14</v>
      </c>
      <c r="O13" s="159"/>
      <c r="P13" s="13">
        <f t="shared" si="1"/>
        <v>202</v>
      </c>
      <c r="Q13" s="11">
        <f t="shared" si="2"/>
        <v>8</v>
      </c>
      <c r="R13" s="91">
        <f t="shared" si="3"/>
        <v>25.25</v>
      </c>
      <c r="S13" s="244">
        <f t="shared" si="4"/>
        <v>105.20833333333333</v>
      </c>
      <c r="T13" s="67">
        <v>24</v>
      </c>
      <c r="U13" s="157">
        <v>17</v>
      </c>
      <c r="V13" s="158"/>
      <c r="W13" s="158"/>
      <c r="X13" s="158">
        <v>26</v>
      </c>
      <c r="Y13" s="158"/>
      <c r="Z13" s="158">
        <v>19</v>
      </c>
      <c r="AA13" s="158">
        <v>24</v>
      </c>
      <c r="AB13" s="158"/>
      <c r="AC13" s="158"/>
      <c r="AD13" s="158"/>
      <c r="AE13" s="158"/>
      <c r="AF13" s="158"/>
      <c r="AG13" s="159"/>
      <c r="AH13" s="13">
        <f t="shared" si="5"/>
        <v>86</v>
      </c>
      <c r="AI13" s="11">
        <f t="shared" si="6"/>
        <v>4</v>
      </c>
      <c r="AJ13" s="12">
        <f t="shared" si="7"/>
        <v>21.5</v>
      </c>
      <c r="AK13" s="74"/>
      <c r="AL13" s="119">
        <f t="shared" si="8"/>
        <v>288</v>
      </c>
      <c r="AM13" s="91">
        <f t="shared" si="9"/>
        <v>12</v>
      </c>
      <c r="AN13" s="91">
        <f t="shared" si="10"/>
        <v>24</v>
      </c>
      <c r="AO13" s="244">
        <f t="shared" si="11"/>
        <v>100</v>
      </c>
      <c r="AP13" s="248">
        <f t="shared" si="12"/>
        <v>100</v>
      </c>
    </row>
    <row r="14" spans="1:48" s="10" customFormat="1" ht="20.100000000000001" customHeight="1">
      <c r="A14" s="26" t="s">
        <v>358</v>
      </c>
      <c r="B14" s="126">
        <v>15</v>
      </c>
      <c r="C14" s="157"/>
      <c r="D14" s="158">
        <v>14</v>
      </c>
      <c r="E14" s="158"/>
      <c r="F14" s="158">
        <v>7</v>
      </c>
      <c r="G14" s="158">
        <v>9</v>
      </c>
      <c r="H14" s="158"/>
      <c r="I14" s="158">
        <v>7</v>
      </c>
      <c r="J14" s="158">
        <v>7</v>
      </c>
      <c r="K14" s="158"/>
      <c r="L14" s="158"/>
      <c r="M14" s="158">
        <v>12</v>
      </c>
      <c r="N14" s="158"/>
      <c r="O14" s="159">
        <v>10</v>
      </c>
      <c r="P14" s="13">
        <f t="shared" si="1"/>
        <v>66</v>
      </c>
      <c r="Q14" s="11">
        <f t="shared" si="2"/>
        <v>7</v>
      </c>
      <c r="R14" s="91">
        <f t="shared" si="3"/>
        <v>9.4285714285714288</v>
      </c>
      <c r="S14" s="244">
        <f t="shared" si="4"/>
        <v>62.857142857142854</v>
      </c>
      <c r="T14" s="235">
        <v>15</v>
      </c>
      <c r="U14" s="157"/>
      <c r="V14" s="158">
        <v>11</v>
      </c>
      <c r="W14" s="158"/>
      <c r="X14" s="158">
        <v>7</v>
      </c>
      <c r="Y14" s="158"/>
      <c r="Z14" s="158">
        <v>8</v>
      </c>
      <c r="AA14" s="158"/>
      <c r="AB14" s="158"/>
      <c r="AC14" s="158"/>
      <c r="AD14" s="158"/>
      <c r="AE14" s="158"/>
      <c r="AF14" s="158"/>
      <c r="AG14" s="159"/>
      <c r="AH14" s="13">
        <f t="shared" si="5"/>
        <v>26</v>
      </c>
      <c r="AI14" s="11">
        <f t="shared" si="6"/>
        <v>3</v>
      </c>
      <c r="AJ14" s="12">
        <f t="shared" si="7"/>
        <v>8.6666666666666661</v>
      </c>
      <c r="AK14" s="74"/>
      <c r="AL14" s="119">
        <f t="shared" si="8"/>
        <v>92</v>
      </c>
      <c r="AM14" s="91">
        <f t="shared" si="9"/>
        <v>10</v>
      </c>
      <c r="AN14" s="91">
        <f t="shared" si="10"/>
        <v>9.1999999999999993</v>
      </c>
      <c r="AO14" s="244">
        <f t="shared" si="11"/>
        <v>61.333333333333329</v>
      </c>
      <c r="AP14" s="248">
        <f t="shared" si="12"/>
        <v>61.333333333333329</v>
      </c>
    </row>
    <row r="15" spans="1:48" s="10" customFormat="1" ht="20.100000000000001" customHeight="1">
      <c r="A15" s="26">
        <v>0</v>
      </c>
      <c r="B15" s="126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1"/>
        <v>0</v>
      </c>
      <c r="Q15" s="11">
        <f t="shared" si="2"/>
        <v>0</v>
      </c>
      <c r="R15" s="91" t="str">
        <f t="shared" si="3"/>
        <v xml:space="preserve"> </v>
      </c>
      <c r="S15" s="244" t="str">
        <f t="shared" si="4"/>
        <v xml:space="preserve"> </v>
      </c>
      <c r="T15" s="126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8"/>
        <v>0</v>
      </c>
      <c r="AM15" s="91">
        <f t="shared" si="9"/>
        <v>0</v>
      </c>
      <c r="AN15" s="91" t="str">
        <f t="shared" si="10"/>
        <v xml:space="preserve"> </v>
      </c>
      <c r="AO15" s="244" t="str">
        <f t="shared" si="11"/>
        <v xml:space="preserve"> </v>
      </c>
      <c r="AP15" s="248" t="str">
        <f t="shared" si="12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1"/>
        <v>0</v>
      </c>
      <c r="Q16" s="11">
        <f t="shared" si="2"/>
        <v>0</v>
      </c>
      <c r="R16" s="91" t="str">
        <f t="shared" si="3"/>
        <v xml:space="preserve"> </v>
      </c>
      <c r="S16" s="244" t="str">
        <f t="shared" si="4"/>
        <v xml:space="preserve"> </v>
      </c>
      <c r="T16" s="69">
        <f t="shared" ref="T16:T18" si="13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8"/>
        <v>0</v>
      </c>
      <c r="AM16" s="91">
        <f t="shared" si="9"/>
        <v>0</v>
      </c>
      <c r="AN16" s="91" t="str">
        <f t="shared" si="10"/>
        <v xml:space="preserve"> </v>
      </c>
      <c r="AO16" s="244" t="str">
        <f t="shared" si="11"/>
        <v xml:space="preserve"> </v>
      </c>
      <c r="AP16" s="248" t="str">
        <f t="shared" si="12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"/>
        <v>0</v>
      </c>
      <c r="Q17" s="11">
        <f t="shared" si="2"/>
        <v>0</v>
      </c>
      <c r="R17" s="91" t="str">
        <f t="shared" si="3"/>
        <v xml:space="preserve"> </v>
      </c>
      <c r="S17" s="244" t="str">
        <f t="shared" si="4"/>
        <v xml:space="preserve"> </v>
      </c>
      <c r="T17" s="69">
        <f t="shared" si="13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8"/>
        <v>0</v>
      </c>
      <c r="AM17" s="91">
        <f t="shared" si="9"/>
        <v>0</v>
      </c>
      <c r="AN17" s="91" t="str">
        <f t="shared" si="10"/>
        <v xml:space="preserve"> </v>
      </c>
      <c r="AO17" s="244" t="str">
        <f t="shared" si="11"/>
        <v xml:space="preserve"> </v>
      </c>
      <c r="AP17" s="248" t="str">
        <f t="shared" si="12"/>
        <v>0</v>
      </c>
    </row>
    <row r="18" spans="1:42" s="10" customFormat="1" ht="20.100000000000001" customHeight="1" thickBot="1">
      <c r="A18" s="130"/>
      <c r="B18" s="6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1"/>
        <v>0</v>
      </c>
      <c r="Q18" s="14">
        <f t="shared" si="2"/>
        <v>0</v>
      </c>
      <c r="R18" s="121" t="str">
        <f t="shared" si="3"/>
        <v xml:space="preserve"> </v>
      </c>
      <c r="S18" s="245" t="str">
        <f t="shared" si="4"/>
        <v xml:space="preserve"> </v>
      </c>
      <c r="T18" s="69">
        <f t="shared" si="13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8"/>
        <v>0</v>
      </c>
      <c r="AM18" s="121">
        <f t="shared" si="9"/>
        <v>0</v>
      </c>
      <c r="AN18" s="121" t="str">
        <f t="shared" si="10"/>
        <v xml:space="preserve"> </v>
      </c>
      <c r="AO18" s="245" t="str">
        <f t="shared" si="11"/>
        <v xml:space="preserve"> </v>
      </c>
      <c r="AP18" s="248" t="str">
        <f t="shared" si="12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3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149</v>
      </c>
      <c r="Z19" s="19">
        <f t="shared" si="15"/>
        <v>241</v>
      </c>
      <c r="AA19" s="19">
        <f t="shared" si="15"/>
        <v>173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1271</v>
      </c>
      <c r="AI19" s="18">
        <f>SUM(AI4:AI18)</f>
        <v>42</v>
      </c>
      <c r="AJ19" s="23">
        <f>AH19/AI19</f>
        <v>30.261904761904763</v>
      </c>
      <c r="AK19" s="75"/>
      <c r="AL19" s="24">
        <f>SUM(AL4:AL18)</f>
        <v>3623</v>
      </c>
      <c r="AM19" s="18">
        <f>SUM(AM4:AM18)</f>
        <v>120</v>
      </c>
      <c r="AN19" s="18">
        <f t="shared" ref="AN19" si="17">AL19/AM19</f>
        <v>30.191666666666666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6"/>
  <dimension ref="A1:AV19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1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33</v>
      </c>
      <c r="B2" s="333" t="s">
        <v>42</v>
      </c>
      <c r="C2" s="335" t="s">
        <v>165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128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1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6"/>
      <c r="AI3" s="322"/>
      <c r="AJ3" s="322"/>
      <c r="AK3" s="73"/>
      <c r="AL3" s="326"/>
      <c r="AM3" s="322"/>
      <c r="AN3" s="322"/>
      <c r="AO3" s="324"/>
    </row>
    <row r="4" spans="1:48" ht="20.100000000000001" customHeight="1">
      <c r="A4" s="171" t="s">
        <v>166</v>
      </c>
      <c r="B4" s="131">
        <v>17</v>
      </c>
      <c r="C4" s="154"/>
      <c r="D4" s="155">
        <v>14</v>
      </c>
      <c r="E4" s="155"/>
      <c r="F4" s="155">
        <v>13</v>
      </c>
      <c r="G4" s="155"/>
      <c r="H4" s="155">
        <v>9</v>
      </c>
      <c r="I4" s="155"/>
      <c r="J4" s="155"/>
      <c r="K4" s="155"/>
      <c r="L4" s="155"/>
      <c r="M4" s="155">
        <v>15</v>
      </c>
      <c r="N4" s="155"/>
      <c r="O4" s="156"/>
      <c r="P4" s="9">
        <f>SUM(C4:O4)</f>
        <v>51</v>
      </c>
      <c r="Q4" s="8">
        <f>COUNTIF(C4:O4,"&gt;0")</f>
        <v>4</v>
      </c>
      <c r="R4" s="118">
        <f>IF(P4=0," ",P4/Q4)</f>
        <v>12.75</v>
      </c>
      <c r="S4" s="243">
        <f t="shared" ref="S4" si="0">IF(P4=0," ",P4/(Q4*T4)*100)</f>
        <v>75</v>
      </c>
      <c r="T4" s="67">
        <v>17</v>
      </c>
      <c r="U4" s="154"/>
      <c r="V4" s="155">
        <v>23</v>
      </c>
      <c r="W4" s="155"/>
      <c r="X4" s="155"/>
      <c r="Y4" s="155">
        <v>23</v>
      </c>
      <c r="Z4" s="155">
        <v>20</v>
      </c>
      <c r="AA4" s="155">
        <v>14</v>
      </c>
      <c r="AB4" s="155"/>
      <c r="AC4" s="155"/>
      <c r="AD4" s="155"/>
      <c r="AE4" s="155"/>
      <c r="AF4" s="155"/>
      <c r="AG4" s="156"/>
      <c r="AH4" s="9">
        <f>SUM(U4:AG4)</f>
        <v>80</v>
      </c>
      <c r="AI4" s="8">
        <f>COUNTIF(U4:AG4,"&gt;0")</f>
        <v>4</v>
      </c>
      <c r="AJ4" s="90">
        <f>IF(AH4=0," ",AH4/AI4)</f>
        <v>20</v>
      </c>
      <c r="AK4" s="74"/>
      <c r="AL4" s="117">
        <f t="shared" ref="AL4:AM4" si="1">P4+AH4</f>
        <v>131</v>
      </c>
      <c r="AM4" s="118">
        <f t="shared" si="1"/>
        <v>8</v>
      </c>
      <c r="AN4" s="118">
        <f>IF(AL4=0," ",AL4/AM4)</f>
        <v>16.375</v>
      </c>
      <c r="AO4" s="243">
        <f>IF(AL4=0," ",AL4/(AM4*T4)*100)</f>
        <v>96.32352941176471</v>
      </c>
      <c r="AP4" s="248">
        <f>IF($AM4&gt;=$AP$1,$AL4/($AM4*$T4)*100,"0")</f>
        <v>96.32352941176471</v>
      </c>
    </row>
    <row r="5" spans="1:48" ht="20.100000000000001" customHeight="1">
      <c r="A5" s="26" t="s">
        <v>167</v>
      </c>
      <c r="B5" s="67">
        <v>38</v>
      </c>
      <c r="C5" s="157">
        <v>25</v>
      </c>
      <c r="D5" s="158"/>
      <c r="E5" s="158"/>
      <c r="F5" s="158">
        <v>43</v>
      </c>
      <c r="G5" s="158"/>
      <c r="H5" s="158"/>
      <c r="I5" s="158"/>
      <c r="J5" s="158">
        <v>57</v>
      </c>
      <c r="K5" s="158">
        <v>31</v>
      </c>
      <c r="L5" s="158">
        <v>29</v>
      </c>
      <c r="M5" s="158">
        <v>28</v>
      </c>
      <c r="N5" s="158"/>
      <c r="O5" s="159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1">
        <f t="shared" ref="R5:R18" si="4">IF(P5=0," ",P5/Q5)</f>
        <v>34</v>
      </c>
      <c r="S5" s="244">
        <f t="shared" ref="S5:S18" si="5">IF(P5=0," ",P5/(Q5*T5)*100)</f>
        <v>89.473684210526315</v>
      </c>
      <c r="T5" s="67">
        <v>38</v>
      </c>
      <c r="U5" s="157">
        <v>27</v>
      </c>
      <c r="V5" s="158"/>
      <c r="W5" s="158">
        <v>32</v>
      </c>
      <c r="X5" s="158">
        <v>48</v>
      </c>
      <c r="Y5" s="158">
        <v>43</v>
      </c>
      <c r="Z5" s="158"/>
      <c r="AA5" s="158">
        <v>20</v>
      </c>
      <c r="AB5" s="158"/>
      <c r="AC5" s="158"/>
      <c r="AD5" s="158"/>
      <c r="AE5" s="158"/>
      <c r="AF5" s="158"/>
      <c r="AG5" s="159"/>
      <c r="AH5" s="13">
        <f t="shared" ref="AH5:AH18" si="6">SUM(U5:AG5)</f>
        <v>170</v>
      </c>
      <c r="AI5" s="11">
        <f t="shared" ref="AI5:AI18" si="7">COUNTIF(U5:AG5,"&gt;0")</f>
        <v>5</v>
      </c>
      <c r="AJ5" s="12">
        <f t="shared" ref="AJ5:AJ18" si="8">IF(AH5=0," ",AH5/AI5)</f>
        <v>34</v>
      </c>
      <c r="AK5" s="74"/>
      <c r="AL5" s="119">
        <f t="shared" ref="AL5:AL18" si="9">P5+AH5</f>
        <v>408</v>
      </c>
      <c r="AM5" s="91">
        <f t="shared" ref="AM5:AM18" si="10">Q5+AI5</f>
        <v>12</v>
      </c>
      <c r="AN5" s="91">
        <f t="shared" ref="AN5:AN18" si="11">IF(AL5=0," ",AL5/AM5)</f>
        <v>34</v>
      </c>
      <c r="AO5" s="244">
        <f t="shared" ref="AO5:AO18" si="12">IF(AL5=0," ",AL5/(AM5*T5)*100)</f>
        <v>89.473684210526315</v>
      </c>
      <c r="AP5" s="248">
        <f t="shared" ref="AP5:AP18" si="13">IF($AM5&gt;=$AP$1,$AL5/($AM5*$T5)*100,"0")</f>
        <v>89.473684210526315</v>
      </c>
    </row>
    <row r="6" spans="1:48" ht="20.100000000000001" customHeight="1">
      <c r="A6" s="26" t="s">
        <v>339</v>
      </c>
      <c r="B6" s="126">
        <v>54</v>
      </c>
      <c r="C6" s="157">
        <v>59</v>
      </c>
      <c r="D6" s="158">
        <v>47</v>
      </c>
      <c r="E6" s="158">
        <v>56</v>
      </c>
      <c r="F6" s="158"/>
      <c r="G6" s="158">
        <v>87</v>
      </c>
      <c r="H6" s="158"/>
      <c r="I6" s="158">
        <v>79</v>
      </c>
      <c r="J6" s="158">
        <v>37</v>
      </c>
      <c r="K6" s="158"/>
      <c r="L6" s="158">
        <v>68</v>
      </c>
      <c r="M6" s="158"/>
      <c r="N6" s="158">
        <v>38</v>
      </c>
      <c r="O6" s="159">
        <v>55</v>
      </c>
      <c r="P6" s="13">
        <f t="shared" si="2"/>
        <v>526</v>
      </c>
      <c r="Q6" s="11">
        <f t="shared" si="3"/>
        <v>9</v>
      </c>
      <c r="R6" s="91">
        <f t="shared" si="4"/>
        <v>58.444444444444443</v>
      </c>
      <c r="S6" s="244">
        <f t="shared" si="5"/>
        <v>100.76628352490422</v>
      </c>
      <c r="T6" s="235">
        <v>58</v>
      </c>
      <c r="U6" s="157"/>
      <c r="V6" s="158"/>
      <c r="W6" s="158"/>
      <c r="X6" s="158">
        <v>54</v>
      </c>
      <c r="Y6" s="158"/>
      <c r="Z6" s="158"/>
      <c r="AA6" s="158">
        <v>35</v>
      </c>
      <c r="AB6" s="158"/>
      <c r="AC6" s="158"/>
      <c r="AD6" s="158"/>
      <c r="AE6" s="158"/>
      <c r="AF6" s="158"/>
      <c r="AG6" s="159"/>
      <c r="AH6" s="13">
        <f t="shared" si="6"/>
        <v>89</v>
      </c>
      <c r="AI6" s="11">
        <f t="shared" si="7"/>
        <v>2</v>
      </c>
      <c r="AJ6" s="12">
        <f t="shared" si="8"/>
        <v>44.5</v>
      </c>
      <c r="AK6" s="74"/>
      <c r="AL6" s="119">
        <f t="shared" si="9"/>
        <v>615</v>
      </c>
      <c r="AM6" s="91">
        <f t="shared" si="10"/>
        <v>11</v>
      </c>
      <c r="AN6" s="91">
        <f t="shared" si="11"/>
        <v>55.909090909090907</v>
      </c>
      <c r="AO6" s="244">
        <f t="shared" si="12"/>
        <v>96.3949843260188</v>
      </c>
      <c r="AP6" s="248">
        <f t="shared" si="13"/>
        <v>96.3949843260188</v>
      </c>
    </row>
    <row r="7" spans="1:48" ht="20.100000000000001" customHeight="1">
      <c r="A7" s="26" t="s">
        <v>168</v>
      </c>
      <c r="B7" s="67">
        <v>15</v>
      </c>
      <c r="C7" s="157"/>
      <c r="D7" s="158"/>
      <c r="E7" s="158"/>
      <c r="F7" s="158">
        <v>10</v>
      </c>
      <c r="G7" s="158"/>
      <c r="H7" s="158">
        <v>24</v>
      </c>
      <c r="I7" s="158"/>
      <c r="J7" s="158">
        <v>10</v>
      </c>
      <c r="K7" s="158">
        <v>10</v>
      </c>
      <c r="L7" s="158"/>
      <c r="M7" s="158"/>
      <c r="N7" s="158"/>
      <c r="O7" s="159"/>
      <c r="P7" s="13">
        <f t="shared" si="2"/>
        <v>54</v>
      </c>
      <c r="Q7" s="11">
        <f t="shared" si="3"/>
        <v>4</v>
      </c>
      <c r="R7" s="91">
        <f t="shared" si="4"/>
        <v>13.5</v>
      </c>
      <c r="S7" s="244">
        <f t="shared" si="5"/>
        <v>90</v>
      </c>
      <c r="T7" s="67">
        <v>15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54</v>
      </c>
      <c r="AM7" s="91">
        <f t="shared" si="10"/>
        <v>4</v>
      </c>
      <c r="AN7" s="91">
        <f t="shared" si="11"/>
        <v>13.5</v>
      </c>
      <c r="AO7" s="244">
        <f t="shared" si="12"/>
        <v>90</v>
      </c>
      <c r="AP7" s="248" t="str">
        <f t="shared" si="13"/>
        <v>0</v>
      </c>
    </row>
    <row r="8" spans="1:48" ht="20.100000000000001" customHeight="1">
      <c r="A8" s="66" t="s">
        <v>169</v>
      </c>
      <c r="B8" s="67">
        <v>32</v>
      </c>
      <c r="C8" s="157"/>
      <c r="D8" s="158">
        <v>23</v>
      </c>
      <c r="E8" s="158">
        <v>31</v>
      </c>
      <c r="F8" s="158"/>
      <c r="G8" s="158"/>
      <c r="H8" s="158">
        <v>34</v>
      </c>
      <c r="I8" s="158">
        <v>56</v>
      </c>
      <c r="J8" s="158">
        <v>35</v>
      </c>
      <c r="K8" s="158">
        <v>23</v>
      </c>
      <c r="L8" s="158"/>
      <c r="M8" s="158">
        <v>20</v>
      </c>
      <c r="N8" s="158"/>
      <c r="O8" s="159"/>
      <c r="P8" s="13">
        <f t="shared" si="2"/>
        <v>222</v>
      </c>
      <c r="Q8" s="11">
        <f t="shared" si="3"/>
        <v>7</v>
      </c>
      <c r="R8" s="91">
        <f t="shared" si="4"/>
        <v>31.714285714285715</v>
      </c>
      <c r="S8" s="244">
        <f t="shared" si="5"/>
        <v>99.107142857142861</v>
      </c>
      <c r="T8" s="67">
        <v>32</v>
      </c>
      <c r="U8" s="157">
        <v>28</v>
      </c>
      <c r="V8" s="158">
        <v>29</v>
      </c>
      <c r="W8" s="158"/>
      <c r="X8" s="158">
        <v>36</v>
      </c>
      <c r="Y8" s="158"/>
      <c r="Z8" s="158">
        <v>28</v>
      </c>
      <c r="AA8" s="158"/>
      <c r="AB8" s="158"/>
      <c r="AC8" s="158"/>
      <c r="AD8" s="158"/>
      <c r="AE8" s="158"/>
      <c r="AF8" s="158"/>
      <c r="AG8" s="159"/>
      <c r="AH8" s="13">
        <f t="shared" si="6"/>
        <v>121</v>
      </c>
      <c r="AI8" s="11">
        <f t="shared" si="7"/>
        <v>4</v>
      </c>
      <c r="AJ8" s="12">
        <f t="shared" si="8"/>
        <v>30.25</v>
      </c>
      <c r="AK8" s="74"/>
      <c r="AL8" s="119">
        <f t="shared" si="9"/>
        <v>343</v>
      </c>
      <c r="AM8" s="91">
        <f t="shared" si="10"/>
        <v>11</v>
      </c>
      <c r="AN8" s="91">
        <f t="shared" si="11"/>
        <v>31.181818181818183</v>
      </c>
      <c r="AO8" s="244">
        <f t="shared" si="12"/>
        <v>97.443181818181827</v>
      </c>
      <c r="AP8" s="248">
        <f t="shared" si="13"/>
        <v>97.443181818181827</v>
      </c>
    </row>
    <row r="9" spans="1:48" ht="20.100000000000001" customHeight="1">
      <c r="A9" s="26" t="s">
        <v>170</v>
      </c>
      <c r="B9" s="67">
        <v>19</v>
      </c>
      <c r="C9" s="157">
        <v>29</v>
      </c>
      <c r="D9" s="158">
        <v>19</v>
      </c>
      <c r="E9" s="158"/>
      <c r="F9" s="158"/>
      <c r="G9" s="158"/>
      <c r="H9" s="158"/>
      <c r="I9" s="158"/>
      <c r="J9" s="158"/>
      <c r="K9" s="158"/>
      <c r="L9" s="158">
        <v>32</v>
      </c>
      <c r="M9" s="158"/>
      <c r="N9" s="158">
        <v>21</v>
      </c>
      <c r="O9" s="159"/>
      <c r="P9" s="13">
        <f t="shared" si="2"/>
        <v>101</v>
      </c>
      <c r="Q9" s="11">
        <f t="shared" si="3"/>
        <v>4</v>
      </c>
      <c r="R9" s="91">
        <f t="shared" si="4"/>
        <v>25.25</v>
      </c>
      <c r="S9" s="244">
        <f t="shared" si="5"/>
        <v>132.89473684210526</v>
      </c>
      <c r="T9" s="67">
        <v>19</v>
      </c>
      <c r="U9" s="157"/>
      <c r="V9" s="158">
        <v>13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13</v>
      </c>
      <c r="AI9" s="11">
        <f t="shared" si="7"/>
        <v>1</v>
      </c>
      <c r="AJ9" s="12">
        <f t="shared" si="8"/>
        <v>13</v>
      </c>
      <c r="AK9" s="74"/>
      <c r="AL9" s="119">
        <f t="shared" si="9"/>
        <v>114</v>
      </c>
      <c r="AM9" s="91">
        <f t="shared" si="10"/>
        <v>5</v>
      </c>
      <c r="AN9" s="91">
        <f t="shared" si="11"/>
        <v>22.8</v>
      </c>
      <c r="AO9" s="244">
        <f t="shared" si="12"/>
        <v>120</v>
      </c>
      <c r="AP9" s="248" t="str">
        <f t="shared" si="13"/>
        <v>0</v>
      </c>
      <c r="AV9" s="304"/>
    </row>
    <row r="10" spans="1:48" ht="20.100000000000001" customHeight="1">
      <c r="A10" s="26" t="s">
        <v>171</v>
      </c>
      <c r="B10" s="67">
        <v>21</v>
      </c>
      <c r="C10" s="157">
        <v>17</v>
      </c>
      <c r="D10" s="158"/>
      <c r="E10" s="158">
        <v>22</v>
      </c>
      <c r="F10" s="158"/>
      <c r="G10" s="158"/>
      <c r="H10" s="158"/>
      <c r="I10" s="158"/>
      <c r="J10" s="158"/>
      <c r="K10" s="158"/>
      <c r="L10" s="158"/>
      <c r="M10" s="158"/>
      <c r="N10" s="158">
        <v>29</v>
      </c>
      <c r="O10" s="159">
        <v>14</v>
      </c>
      <c r="P10" s="13">
        <f t="shared" si="2"/>
        <v>82</v>
      </c>
      <c r="Q10" s="11">
        <f t="shared" si="3"/>
        <v>4</v>
      </c>
      <c r="R10" s="91">
        <f t="shared" si="4"/>
        <v>20.5</v>
      </c>
      <c r="S10" s="244">
        <f t="shared" si="5"/>
        <v>97.61904761904762</v>
      </c>
      <c r="T10" s="67">
        <v>21</v>
      </c>
      <c r="U10" s="157"/>
      <c r="V10" s="158"/>
      <c r="W10" s="158">
        <v>14</v>
      </c>
      <c r="X10" s="158">
        <v>32</v>
      </c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4"/>
      <c r="AL10" s="119">
        <f t="shared" si="9"/>
        <v>128</v>
      </c>
      <c r="AM10" s="91">
        <f t="shared" si="10"/>
        <v>6</v>
      </c>
      <c r="AN10" s="91">
        <f t="shared" si="11"/>
        <v>21.333333333333332</v>
      </c>
      <c r="AO10" s="244">
        <f t="shared" si="12"/>
        <v>101.58730158730158</v>
      </c>
      <c r="AP10" s="248">
        <f t="shared" si="13"/>
        <v>101.58730158730158</v>
      </c>
    </row>
    <row r="11" spans="1:48" ht="20.100000000000001" customHeight="1">
      <c r="A11" s="26" t="s">
        <v>172</v>
      </c>
      <c r="B11" s="67">
        <v>24</v>
      </c>
      <c r="C11" s="157"/>
      <c r="D11" s="158"/>
      <c r="E11" s="158">
        <v>33</v>
      </c>
      <c r="F11" s="158"/>
      <c r="G11" s="158">
        <v>18</v>
      </c>
      <c r="H11" s="158"/>
      <c r="I11" s="158">
        <v>31</v>
      </c>
      <c r="J11" s="158">
        <v>48</v>
      </c>
      <c r="K11" s="158">
        <v>34</v>
      </c>
      <c r="L11" s="158"/>
      <c r="M11" s="158"/>
      <c r="N11" s="158"/>
      <c r="O11" s="159">
        <v>33</v>
      </c>
      <c r="P11" s="13">
        <f t="shared" si="2"/>
        <v>197</v>
      </c>
      <c r="Q11" s="11">
        <f t="shared" si="3"/>
        <v>6</v>
      </c>
      <c r="R11" s="91">
        <f t="shared" si="4"/>
        <v>32.833333333333336</v>
      </c>
      <c r="S11" s="244">
        <f t="shared" si="5"/>
        <v>136.80555555555557</v>
      </c>
      <c r="T11" s="67">
        <v>24</v>
      </c>
      <c r="U11" s="157"/>
      <c r="V11" s="158"/>
      <c r="W11" s="158">
        <v>16</v>
      </c>
      <c r="X11" s="158">
        <v>23</v>
      </c>
      <c r="Y11" s="158">
        <v>32</v>
      </c>
      <c r="Z11" s="158">
        <v>26</v>
      </c>
      <c r="AA11" s="158"/>
      <c r="AB11" s="158"/>
      <c r="AC11" s="158"/>
      <c r="AD11" s="158"/>
      <c r="AE11" s="158"/>
      <c r="AF11" s="158"/>
      <c r="AG11" s="159"/>
      <c r="AH11" s="13">
        <f t="shared" si="6"/>
        <v>97</v>
      </c>
      <c r="AI11" s="11">
        <f t="shared" si="7"/>
        <v>4</v>
      </c>
      <c r="AJ11" s="12">
        <f t="shared" si="8"/>
        <v>24.25</v>
      </c>
      <c r="AK11" s="74"/>
      <c r="AL11" s="119">
        <f t="shared" si="9"/>
        <v>294</v>
      </c>
      <c r="AM11" s="91">
        <f t="shared" si="10"/>
        <v>10</v>
      </c>
      <c r="AN11" s="91">
        <f t="shared" si="11"/>
        <v>29.4</v>
      </c>
      <c r="AO11" s="244">
        <f t="shared" si="12"/>
        <v>122.50000000000001</v>
      </c>
      <c r="AP11" s="248">
        <f t="shared" si="13"/>
        <v>122.50000000000001</v>
      </c>
    </row>
    <row r="12" spans="1:48" ht="20.100000000000001" customHeight="1">
      <c r="A12" s="26" t="s">
        <v>313</v>
      </c>
      <c r="B12" s="67">
        <v>38</v>
      </c>
      <c r="C12" s="157">
        <v>40</v>
      </c>
      <c r="D12" s="158"/>
      <c r="E12" s="158">
        <v>31</v>
      </c>
      <c r="F12" s="158">
        <v>28</v>
      </c>
      <c r="G12" s="158">
        <v>52</v>
      </c>
      <c r="H12" s="158"/>
      <c r="I12" s="158">
        <v>30</v>
      </c>
      <c r="J12" s="158"/>
      <c r="K12" s="158"/>
      <c r="L12" s="158">
        <v>29</v>
      </c>
      <c r="M12" s="158"/>
      <c r="N12" s="158">
        <v>34</v>
      </c>
      <c r="O12" s="159"/>
      <c r="P12" s="13">
        <f t="shared" si="2"/>
        <v>244</v>
      </c>
      <c r="Q12" s="11">
        <f t="shared" si="3"/>
        <v>7</v>
      </c>
      <c r="R12" s="91">
        <f t="shared" si="4"/>
        <v>34.857142857142854</v>
      </c>
      <c r="S12" s="244">
        <f t="shared" si="5"/>
        <v>91.729323308270665</v>
      </c>
      <c r="T12" s="67">
        <v>38</v>
      </c>
      <c r="U12" s="157">
        <v>37</v>
      </c>
      <c r="V12" s="158">
        <v>45</v>
      </c>
      <c r="W12" s="158"/>
      <c r="X12" s="158"/>
      <c r="Y12" s="158">
        <v>21</v>
      </c>
      <c r="Z12" s="158">
        <v>26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129</v>
      </c>
      <c r="AI12" s="11">
        <f t="shared" si="7"/>
        <v>4</v>
      </c>
      <c r="AJ12" s="12">
        <f t="shared" si="8"/>
        <v>32.25</v>
      </c>
      <c r="AK12" s="74"/>
      <c r="AL12" s="119">
        <f t="shared" si="9"/>
        <v>373</v>
      </c>
      <c r="AM12" s="91">
        <f t="shared" si="10"/>
        <v>11</v>
      </c>
      <c r="AN12" s="91">
        <f t="shared" si="11"/>
        <v>33.909090909090907</v>
      </c>
      <c r="AO12" s="244">
        <f t="shared" si="12"/>
        <v>89.234449760765557</v>
      </c>
      <c r="AP12" s="248">
        <f t="shared" si="13"/>
        <v>89.234449760765557</v>
      </c>
    </row>
    <row r="13" spans="1:48" ht="20.100000000000001" customHeight="1">
      <c r="A13" s="26" t="s">
        <v>314</v>
      </c>
      <c r="B13" s="67">
        <v>88</v>
      </c>
      <c r="C13" s="157"/>
      <c r="D13" s="158"/>
      <c r="E13" s="158"/>
      <c r="F13" s="158">
        <v>120</v>
      </c>
      <c r="G13" s="158">
        <v>115</v>
      </c>
      <c r="H13" s="158">
        <v>84</v>
      </c>
      <c r="I13" s="158"/>
      <c r="J13" s="158"/>
      <c r="K13" s="158">
        <v>56</v>
      </c>
      <c r="L13" s="158">
        <v>81</v>
      </c>
      <c r="M13" s="158">
        <v>65</v>
      </c>
      <c r="N13" s="158"/>
      <c r="O13" s="159">
        <v>58</v>
      </c>
      <c r="P13" s="13">
        <f t="shared" si="2"/>
        <v>579</v>
      </c>
      <c r="Q13" s="11">
        <f t="shared" si="3"/>
        <v>7</v>
      </c>
      <c r="R13" s="91">
        <f t="shared" si="4"/>
        <v>82.714285714285708</v>
      </c>
      <c r="S13" s="244">
        <f t="shared" si="5"/>
        <v>93.993506493506501</v>
      </c>
      <c r="T13" s="67">
        <v>88</v>
      </c>
      <c r="U13" s="157"/>
      <c r="V13" s="158">
        <v>105</v>
      </c>
      <c r="W13" s="158">
        <v>54</v>
      </c>
      <c r="X13" s="158"/>
      <c r="Y13" s="158"/>
      <c r="Z13" s="158">
        <v>104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263</v>
      </c>
      <c r="AI13" s="11">
        <f t="shared" si="7"/>
        <v>3</v>
      </c>
      <c r="AJ13" s="12">
        <f t="shared" si="8"/>
        <v>87.666666666666671</v>
      </c>
      <c r="AK13" s="74"/>
      <c r="AL13" s="119">
        <f t="shared" si="9"/>
        <v>842</v>
      </c>
      <c r="AM13" s="91">
        <f t="shared" si="10"/>
        <v>10</v>
      </c>
      <c r="AN13" s="91">
        <f t="shared" si="11"/>
        <v>84.2</v>
      </c>
      <c r="AO13" s="244">
        <f t="shared" si="12"/>
        <v>95.681818181818173</v>
      </c>
      <c r="AP13" s="248">
        <f t="shared" si="13"/>
        <v>95.681818181818173</v>
      </c>
    </row>
    <row r="14" spans="1:48" ht="20.100000000000001" customHeight="1">
      <c r="A14" s="26" t="s">
        <v>173</v>
      </c>
      <c r="B14" s="67">
        <v>30</v>
      </c>
      <c r="C14" s="157"/>
      <c r="D14" s="158"/>
      <c r="E14" s="158"/>
      <c r="F14" s="158"/>
      <c r="G14" s="158">
        <v>30</v>
      </c>
      <c r="H14" s="158"/>
      <c r="I14" s="158">
        <v>28</v>
      </c>
      <c r="J14" s="158">
        <v>34</v>
      </c>
      <c r="K14" s="158"/>
      <c r="L14" s="158">
        <v>38</v>
      </c>
      <c r="M14" s="158">
        <v>20</v>
      </c>
      <c r="N14" s="158">
        <v>16</v>
      </c>
      <c r="O14" s="159"/>
      <c r="P14" s="13">
        <f t="shared" si="2"/>
        <v>166</v>
      </c>
      <c r="Q14" s="11">
        <f t="shared" si="3"/>
        <v>6</v>
      </c>
      <c r="R14" s="91">
        <f t="shared" si="4"/>
        <v>27.666666666666668</v>
      </c>
      <c r="S14" s="244">
        <f t="shared" si="5"/>
        <v>92.222222222222229</v>
      </c>
      <c r="T14" s="67">
        <v>30</v>
      </c>
      <c r="U14" s="157"/>
      <c r="V14" s="158"/>
      <c r="W14" s="158"/>
      <c r="X14" s="158">
        <v>22</v>
      </c>
      <c r="Y14" s="158">
        <v>19</v>
      </c>
      <c r="Z14" s="158"/>
      <c r="AA14" s="158">
        <v>30</v>
      </c>
      <c r="AB14" s="158"/>
      <c r="AC14" s="158"/>
      <c r="AD14" s="158"/>
      <c r="AE14" s="158"/>
      <c r="AF14" s="158"/>
      <c r="AG14" s="159"/>
      <c r="AH14" s="13">
        <f t="shared" si="6"/>
        <v>71</v>
      </c>
      <c r="AI14" s="11">
        <f t="shared" si="7"/>
        <v>3</v>
      </c>
      <c r="AJ14" s="12">
        <f t="shared" si="8"/>
        <v>23.666666666666668</v>
      </c>
      <c r="AK14" s="74"/>
      <c r="AL14" s="119">
        <f t="shared" si="9"/>
        <v>237</v>
      </c>
      <c r="AM14" s="91">
        <f t="shared" si="10"/>
        <v>9</v>
      </c>
      <c r="AN14" s="91">
        <f t="shared" si="11"/>
        <v>26.333333333333332</v>
      </c>
      <c r="AO14" s="244">
        <f t="shared" si="12"/>
        <v>87.777777777777771</v>
      </c>
      <c r="AP14" s="248">
        <f t="shared" si="13"/>
        <v>87.777777777777771</v>
      </c>
    </row>
    <row r="15" spans="1:48" ht="20.100000000000001" customHeight="1">
      <c r="A15" s="26" t="s">
        <v>174</v>
      </c>
      <c r="B15" s="67">
        <v>21</v>
      </c>
      <c r="C15" s="157">
        <v>25</v>
      </c>
      <c r="D15" s="158">
        <v>20</v>
      </c>
      <c r="E15" s="158">
        <v>24</v>
      </c>
      <c r="F15" s="158"/>
      <c r="G15" s="158">
        <v>18</v>
      </c>
      <c r="H15" s="158">
        <v>30</v>
      </c>
      <c r="I15" s="158">
        <v>22</v>
      </c>
      <c r="J15" s="158"/>
      <c r="K15" s="158">
        <v>15</v>
      </c>
      <c r="L15" s="158"/>
      <c r="M15" s="158">
        <v>12</v>
      </c>
      <c r="N15" s="158"/>
      <c r="O15" s="159">
        <v>25</v>
      </c>
      <c r="P15" s="13">
        <f t="shared" si="2"/>
        <v>191</v>
      </c>
      <c r="Q15" s="11">
        <f t="shared" si="3"/>
        <v>9</v>
      </c>
      <c r="R15" s="91">
        <f t="shared" si="4"/>
        <v>21.222222222222221</v>
      </c>
      <c r="S15" s="244">
        <f t="shared" si="5"/>
        <v>101.05820105820106</v>
      </c>
      <c r="T15" s="67">
        <v>21</v>
      </c>
      <c r="U15" s="157">
        <v>20</v>
      </c>
      <c r="V15" s="158"/>
      <c r="W15" s="158">
        <v>18</v>
      </c>
      <c r="X15" s="158"/>
      <c r="Y15" s="158"/>
      <c r="Z15" s="158">
        <v>30</v>
      </c>
      <c r="AA15" s="158">
        <v>15</v>
      </c>
      <c r="AB15" s="158"/>
      <c r="AC15" s="158"/>
      <c r="AD15" s="158"/>
      <c r="AE15" s="158"/>
      <c r="AF15" s="158"/>
      <c r="AG15" s="159"/>
      <c r="AH15" s="13">
        <f t="shared" si="6"/>
        <v>83</v>
      </c>
      <c r="AI15" s="11">
        <f t="shared" si="7"/>
        <v>4</v>
      </c>
      <c r="AJ15" s="12">
        <f t="shared" si="8"/>
        <v>20.75</v>
      </c>
      <c r="AK15" s="74"/>
      <c r="AL15" s="119">
        <f t="shared" si="9"/>
        <v>274</v>
      </c>
      <c r="AM15" s="91">
        <f t="shared" si="10"/>
        <v>13</v>
      </c>
      <c r="AN15" s="91">
        <f t="shared" si="11"/>
        <v>21.076923076923077</v>
      </c>
      <c r="AO15" s="244">
        <f t="shared" si="12"/>
        <v>100.36630036630036</v>
      </c>
      <c r="AP15" s="248">
        <f t="shared" si="13"/>
        <v>100.36630036630036</v>
      </c>
    </row>
    <row r="16" spans="1:48" ht="20.100000000000001" customHeight="1">
      <c r="A16" s="26" t="s">
        <v>355</v>
      </c>
      <c r="B16" s="126">
        <v>15</v>
      </c>
      <c r="C16" s="157"/>
      <c r="D16" s="158">
        <v>8</v>
      </c>
      <c r="E16" s="158"/>
      <c r="F16" s="158">
        <v>17</v>
      </c>
      <c r="G16" s="158"/>
      <c r="H16" s="158">
        <v>9</v>
      </c>
      <c r="I16" s="158"/>
      <c r="J16" s="158"/>
      <c r="K16" s="158"/>
      <c r="L16" s="158"/>
      <c r="M16" s="158"/>
      <c r="N16" s="158">
        <v>16</v>
      </c>
      <c r="O16" s="159"/>
      <c r="P16" s="13">
        <f t="shared" si="2"/>
        <v>50</v>
      </c>
      <c r="Q16" s="11">
        <f t="shared" si="3"/>
        <v>4</v>
      </c>
      <c r="R16" s="91">
        <f t="shared" si="4"/>
        <v>12.5</v>
      </c>
      <c r="S16" s="244">
        <f t="shared" si="5"/>
        <v>83.333333333333343</v>
      </c>
      <c r="T16" s="235">
        <v>15</v>
      </c>
      <c r="U16" s="157">
        <v>10</v>
      </c>
      <c r="V16" s="158">
        <v>21</v>
      </c>
      <c r="W16" s="158"/>
      <c r="X16" s="158"/>
      <c r="Y16" s="158">
        <v>15</v>
      </c>
      <c r="Z16" s="158"/>
      <c r="AA16" s="158">
        <v>10</v>
      </c>
      <c r="AB16" s="158"/>
      <c r="AC16" s="158"/>
      <c r="AD16" s="158"/>
      <c r="AE16" s="158"/>
      <c r="AF16" s="158"/>
      <c r="AG16" s="159"/>
      <c r="AH16" s="13">
        <f t="shared" si="6"/>
        <v>56</v>
      </c>
      <c r="AI16" s="11">
        <f t="shared" si="7"/>
        <v>4</v>
      </c>
      <c r="AJ16" s="12">
        <f t="shared" si="8"/>
        <v>14</v>
      </c>
      <c r="AK16" s="74"/>
      <c r="AL16" s="119">
        <f t="shared" si="9"/>
        <v>106</v>
      </c>
      <c r="AM16" s="91">
        <f t="shared" si="10"/>
        <v>8</v>
      </c>
      <c r="AN16" s="91">
        <f t="shared" si="11"/>
        <v>13.25</v>
      </c>
      <c r="AO16" s="244">
        <f t="shared" si="12"/>
        <v>88.333333333333329</v>
      </c>
      <c r="AP16" s="248">
        <f t="shared" si="13"/>
        <v>88.333333333333329</v>
      </c>
    </row>
    <row r="17" spans="1:42" ht="20.100000000000001" customHeight="1">
      <c r="A17" s="26" t="s">
        <v>371</v>
      </c>
      <c r="B17" s="126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>SUM(C17:O17)</f>
        <v>0</v>
      </c>
      <c r="Q17" s="11">
        <f>COUNTIF(C17:O17,"&gt;0")</f>
        <v>0</v>
      </c>
      <c r="R17" s="91" t="str">
        <f>IF(P17=0," ",P17/Q17)</f>
        <v xml:space="preserve"> </v>
      </c>
      <c r="S17" s="244" t="str">
        <f>IF(P17=0," ",P17/(Q17*T17)*100)</f>
        <v xml:space="preserve"> </v>
      </c>
      <c r="T17" s="126">
        <v>35</v>
      </c>
      <c r="U17" s="157">
        <v>28</v>
      </c>
      <c r="V17" s="158"/>
      <c r="W17" s="158">
        <v>19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4"/>
      <c r="AL17" s="119">
        <f>P17+AH17</f>
        <v>47</v>
      </c>
      <c r="AM17" s="91">
        <f>Q17+AI17</f>
        <v>2</v>
      </c>
      <c r="AN17" s="91">
        <f>IF(AL17=0," ",AL17/AM17)</f>
        <v>23.5</v>
      </c>
      <c r="AO17" s="244">
        <f>IF(AL17=0," ",AL17/(AM17*T17)*100)</f>
        <v>67.142857142857139</v>
      </c>
      <c r="AP17" s="248" t="str">
        <f t="shared" si="13"/>
        <v>0</v>
      </c>
    </row>
    <row r="18" spans="1:42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ref="T18" si="14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ht="20.100000000000001" customHeight="1" thickBot="1">
      <c r="A19" s="153">
        <f>COUNT(B3:B18)</f>
        <v>15</v>
      </c>
      <c r="B19" s="174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3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153</v>
      </c>
      <c r="Z19" s="19">
        <f t="shared" si="16"/>
        <v>234</v>
      </c>
      <c r="AA19" s="19">
        <f t="shared" si="16"/>
        <v>124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1265</v>
      </c>
      <c r="AI19" s="18">
        <f>SUM(AI4:AI15)</f>
        <v>36</v>
      </c>
      <c r="AJ19" s="23">
        <f>AH19/AI19</f>
        <v>35.138888888888886</v>
      </c>
      <c r="AK19" s="75"/>
      <c r="AL19" s="24">
        <f>SUM(AL4:AL18)</f>
        <v>3966</v>
      </c>
      <c r="AM19" s="18">
        <f>SUM(AM4:AM18)</f>
        <v>120</v>
      </c>
      <c r="AN19" s="18">
        <f t="shared" ref="AN19" si="17">AL19/AM19</f>
        <v>33.049999999999997</v>
      </c>
      <c r="AO19" s="20"/>
      <c r="AP19" s="1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V24"/>
  <sheetViews>
    <sheetView showGridLines="0" showRowColHeaders="0" zoomScale="80" zoomScaleNormal="80" workbookViewId="0">
      <selection activeCell="AN14" sqref="AN14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1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34</v>
      </c>
      <c r="B2" s="333" t="s">
        <v>42</v>
      </c>
      <c r="C2" s="335" t="s">
        <v>76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110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175</v>
      </c>
      <c r="B4" s="131">
        <v>43</v>
      </c>
      <c r="C4" s="154"/>
      <c r="D4" s="155">
        <v>38</v>
      </c>
      <c r="E4" s="155"/>
      <c r="F4" s="155"/>
      <c r="G4" s="155"/>
      <c r="H4" s="155"/>
      <c r="I4" s="155"/>
      <c r="J4" s="155"/>
      <c r="K4" s="155"/>
      <c r="L4" s="155"/>
      <c r="M4" s="155"/>
      <c r="N4" s="155">
        <v>62</v>
      </c>
      <c r="O4" s="156"/>
      <c r="P4" s="9">
        <f>SUM(C4:O4)</f>
        <v>100</v>
      </c>
      <c r="Q4" s="8">
        <f>COUNTIF(C4:O4,"&gt;0")</f>
        <v>2</v>
      </c>
      <c r="R4" s="118">
        <f>IF(P4=0," ",P4/Q4)</f>
        <v>50</v>
      </c>
      <c r="S4" s="243">
        <f t="shared" ref="S4" si="0">IF(P4=0," ",P4/(Q4*T4)*100)</f>
        <v>116.27906976744187</v>
      </c>
      <c r="T4" s="67">
        <v>43</v>
      </c>
      <c r="U4" s="154">
        <v>52</v>
      </c>
      <c r="V4" s="155">
        <v>32</v>
      </c>
      <c r="W4" s="155"/>
      <c r="X4" s="155">
        <v>38</v>
      </c>
      <c r="Y4" s="155"/>
      <c r="Z4" s="155">
        <v>24</v>
      </c>
      <c r="AA4" s="155"/>
      <c r="AB4" s="155"/>
      <c r="AC4" s="155"/>
      <c r="AD4" s="155"/>
      <c r="AE4" s="155"/>
      <c r="AF4" s="155"/>
      <c r="AG4" s="156"/>
      <c r="AH4" s="9">
        <f>SUM(U4:AG4)</f>
        <v>146</v>
      </c>
      <c r="AI4" s="8">
        <f>COUNTIF(U4:AG4,"&gt;0")</f>
        <v>4</v>
      </c>
      <c r="AJ4" s="90">
        <f>IF(AH4=0," ",AH4/AI4)</f>
        <v>36.5</v>
      </c>
      <c r="AK4" s="74"/>
      <c r="AL4" s="117">
        <f t="shared" ref="AL4" si="1">P4+AH4</f>
        <v>246</v>
      </c>
      <c r="AM4" s="118">
        <f t="shared" ref="AM4" si="2">Q4+AI4</f>
        <v>6</v>
      </c>
      <c r="AN4" s="118">
        <f>IF(AL4=0," ",AL4/AM4)</f>
        <v>41</v>
      </c>
      <c r="AO4" s="243">
        <f>IF(AL4=0," ",AL4/(AM4*T4)*100)</f>
        <v>95.348837209302332</v>
      </c>
      <c r="AP4" s="248">
        <f>IF($AM4&gt;=$AP$1,$AL4/($AM4*$T4)*100,"0")</f>
        <v>95.348837209302332</v>
      </c>
    </row>
    <row r="5" spans="1:48" s="10" customFormat="1" ht="20.100000000000001" customHeight="1">
      <c r="A5" s="26" t="s">
        <v>176</v>
      </c>
      <c r="B5" s="67">
        <v>28</v>
      </c>
      <c r="C5" s="157">
        <v>29</v>
      </c>
      <c r="D5" s="158">
        <v>50</v>
      </c>
      <c r="E5" s="232">
        <v>30</v>
      </c>
      <c r="F5" s="158">
        <v>33</v>
      </c>
      <c r="G5" s="158"/>
      <c r="H5" s="231">
        <v>31</v>
      </c>
      <c r="I5" s="158">
        <v>15</v>
      </c>
      <c r="J5" s="158">
        <v>20</v>
      </c>
      <c r="K5" s="158">
        <v>41</v>
      </c>
      <c r="L5" s="158">
        <v>24</v>
      </c>
      <c r="M5" s="158">
        <v>34</v>
      </c>
      <c r="N5" s="158">
        <v>19</v>
      </c>
      <c r="O5" s="159"/>
      <c r="P5" s="13">
        <f t="shared" ref="P5:P18" si="3">SUM(C5:O5)</f>
        <v>326</v>
      </c>
      <c r="Q5" s="11">
        <f t="shared" ref="Q5:Q18" si="4">COUNTIF(C5:O5,"&gt;0")</f>
        <v>11</v>
      </c>
      <c r="R5" s="91">
        <f t="shared" ref="R5:R18" si="5">IF(P5=0," ",P5/Q5)</f>
        <v>29.636363636363637</v>
      </c>
      <c r="S5" s="244">
        <f t="shared" ref="S5:S18" si="6">IF(P5=0," ",P5/(Q5*T5)*100)</f>
        <v>105.84415584415585</v>
      </c>
      <c r="T5" s="67">
        <v>28</v>
      </c>
      <c r="U5" s="157">
        <v>20</v>
      </c>
      <c r="V5" s="158">
        <v>56</v>
      </c>
      <c r="W5" s="158"/>
      <c r="X5" s="158"/>
      <c r="Y5" s="158"/>
      <c r="Z5" s="158"/>
      <c r="AA5" s="158">
        <v>21</v>
      </c>
      <c r="AB5" s="158"/>
      <c r="AC5" s="158"/>
      <c r="AD5" s="158"/>
      <c r="AE5" s="158"/>
      <c r="AF5" s="158"/>
      <c r="AG5" s="159"/>
      <c r="AH5" s="13">
        <f t="shared" ref="AH5:AH18" si="7">SUM(U5:AG5)</f>
        <v>97</v>
      </c>
      <c r="AI5" s="11">
        <f t="shared" ref="AI5:AI18" si="8">COUNTIF(U5:AG5,"&gt;0")</f>
        <v>3</v>
      </c>
      <c r="AJ5" s="12">
        <f t="shared" ref="AJ5:AJ18" si="9">IF(AH5=0," ",AH5/AI5)</f>
        <v>32.333333333333336</v>
      </c>
      <c r="AK5" s="74"/>
      <c r="AL5" s="119">
        <f t="shared" ref="AL5:AL18" si="10">P5+AH5</f>
        <v>423</v>
      </c>
      <c r="AM5" s="91">
        <f t="shared" ref="AM5:AM18" si="11">Q5+AI5</f>
        <v>14</v>
      </c>
      <c r="AN5" s="91">
        <f t="shared" ref="AN5:AN18" si="12">IF(AL5=0," ",AL5/AM5)</f>
        <v>30.214285714285715</v>
      </c>
      <c r="AO5" s="244">
        <f t="shared" ref="AO5:AO18" si="13">IF(AL5=0," ",AL5/(AM5*T5)*100)</f>
        <v>107.90816326530613</v>
      </c>
      <c r="AP5" s="248">
        <f t="shared" ref="AP5:AP18" si="14">IF($AM5&gt;=$AP$1,$AL5/($AM5*$T5)*100,"0")</f>
        <v>107.90816326530613</v>
      </c>
    </row>
    <row r="6" spans="1:48" s="10" customFormat="1" ht="20.100000000000001" customHeight="1">
      <c r="A6" s="26" t="s">
        <v>177</v>
      </c>
      <c r="B6" s="67">
        <v>42</v>
      </c>
      <c r="C6" s="157">
        <v>38</v>
      </c>
      <c r="D6" s="232">
        <v>49</v>
      </c>
      <c r="E6" s="232">
        <v>18</v>
      </c>
      <c r="F6" s="158">
        <v>35</v>
      </c>
      <c r="G6" s="158">
        <v>51</v>
      </c>
      <c r="H6" s="231">
        <v>44</v>
      </c>
      <c r="I6" s="158">
        <v>22</v>
      </c>
      <c r="J6" s="158">
        <v>49</v>
      </c>
      <c r="K6" s="158"/>
      <c r="L6" s="158">
        <v>37</v>
      </c>
      <c r="M6" s="158">
        <v>43</v>
      </c>
      <c r="N6" s="158"/>
      <c r="O6" s="159">
        <v>56</v>
      </c>
      <c r="P6" s="13">
        <f>SUM(C6:O6)</f>
        <v>442</v>
      </c>
      <c r="Q6" s="11">
        <f>COUNTIF(C6:O6,"&gt;0")</f>
        <v>11</v>
      </c>
      <c r="R6" s="91">
        <f t="shared" si="5"/>
        <v>40.18181818181818</v>
      </c>
      <c r="S6" s="244">
        <f t="shared" si="6"/>
        <v>95.67099567099568</v>
      </c>
      <c r="T6" s="67">
        <v>42</v>
      </c>
      <c r="U6" s="157">
        <v>26</v>
      </c>
      <c r="V6" s="158">
        <v>55</v>
      </c>
      <c r="W6" s="158">
        <v>49</v>
      </c>
      <c r="X6" s="158">
        <v>34</v>
      </c>
      <c r="Y6" s="158">
        <v>42</v>
      </c>
      <c r="Z6" s="158">
        <v>32</v>
      </c>
      <c r="AA6" s="158">
        <v>47</v>
      </c>
      <c r="AB6" s="158"/>
      <c r="AC6" s="158"/>
      <c r="AD6" s="158"/>
      <c r="AE6" s="158"/>
      <c r="AF6" s="158"/>
      <c r="AG6" s="159"/>
      <c r="AH6" s="13">
        <f t="shared" si="7"/>
        <v>285</v>
      </c>
      <c r="AI6" s="11">
        <f t="shared" si="8"/>
        <v>7</v>
      </c>
      <c r="AJ6" s="12">
        <f t="shared" si="9"/>
        <v>40.714285714285715</v>
      </c>
      <c r="AK6" s="74"/>
      <c r="AL6" s="119">
        <f t="shared" si="10"/>
        <v>727</v>
      </c>
      <c r="AM6" s="91">
        <f t="shared" si="11"/>
        <v>18</v>
      </c>
      <c r="AN6" s="91">
        <f t="shared" si="12"/>
        <v>40.388888888888886</v>
      </c>
      <c r="AO6" s="244">
        <f t="shared" si="13"/>
        <v>96.164021164021165</v>
      </c>
      <c r="AP6" s="248">
        <f t="shared" si="14"/>
        <v>96.164021164021165</v>
      </c>
    </row>
    <row r="7" spans="1:48" s="10" customFormat="1" ht="20.100000000000001" customHeight="1">
      <c r="A7" s="26" t="s">
        <v>178</v>
      </c>
      <c r="B7" s="67">
        <v>40</v>
      </c>
      <c r="C7" s="157">
        <v>51</v>
      </c>
      <c r="D7" s="158">
        <v>33</v>
      </c>
      <c r="E7" s="158"/>
      <c r="F7" s="158">
        <v>33</v>
      </c>
      <c r="G7" s="158">
        <v>63</v>
      </c>
      <c r="H7" s="231">
        <v>65</v>
      </c>
      <c r="I7" s="231">
        <v>52</v>
      </c>
      <c r="J7" s="158">
        <v>40</v>
      </c>
      <c r="K7" s="158">
        <v>40</v>
      </c>
      <c r="L7" s="158">
        <v>53</v>
      </c>
      <c r="M7" s="158">
        <v>43</v>
      </c>
      <c r="N7" s="158">
        <v>67</v>
      </c>
      <c r="O7" s="159">
        <v>56</v>
      </c>
      <c r="P7" s="13">
        <f t="shared" si="3"/>
        <v>596</v>
      </c>
      <c r="Q7" s="11">
        <f t="shared" si="4"/>
        <v>12</v>
      </c>
      <c r="R7" s="91">
        <f t="shared" si="5"/>
        <v>49.666666666666664</v>
      </c>
      <c r="S7" s="244">
        <f t="shared" si="6"/>
        <v>124.16666666666667</v>
      </c>
      <c r="T7" s="67">
        <v>40</v>
      </c>
      <c r="U7" s="157">
        <v>28</v>
      </c>
      <c r="V7" s="158"/>
      <c r="W7" s="158">
        <v>51</v>
      </c>
      <c r="X7" s="158">
        <v>51</v>
      </c>
      <c r="Y7" s="158"/>
      <c r="Z7" s="158">
        <v>42</v>
      </c>
      <c r="AA7" s="158"/>
      <c r="AB7" s="158"/>
      <c r="AC7" s="158"/>
      <c r="AD7" s="158"/>
      <c r="AE7" s="158"/>
      <c r="AF7" s="158"/>
      <c r="AG7" s="159"/>
      <c r="AH7" s="13">
        <f t="shared" si="7"/>
        <v>172</v>
      </c>
      <c r="AI7" s="11">
        <f t="shared" si="8"/>
        <v>4</v>
      </c>
      <c r="AJ7" s="12">
        <f t="shared" si="9"/>
        <v>43</v>
      </c>
      <c r="AK7" s="74"/>
      <c r="AL7" s="119">
        <f t="shared" si="10"/>
        <v>768</v>
      </c>
      <c r="AM7" s="91">
        <f t="shared" si="11"/>
        <v>16</v>
      </c>
      <c r="AN7" s="91">
        <f t="shared" si="12"/>
        <v>48</v>
      </c>
      <c r="AO7" s="244">
        <f t="shared" si="13"/>
        <v>120</v>
      </c>
      <c r="AP7" s="248">
        <f t="shared" si="14"/>
        <v>120</v>
      </c>
    </row>
    <row r="8" spans="1:48" s="10" customFormat="1" ht="20.100000000000001" customHeight="1">
      <c r="A8" s="26" t="s">
        <v>179</v>
      </c>
      <c r="B8" s="67">
        <v>32</v>
      </c>
      <c r="C8" s="157">
        <v>30</v>
      </c>
      <c r="D8" s="158"/>
      <c r="E8" s="158"/>
      <c r="F8" s="158"/>
      <c r="G8" s="158">
        <v>50</v>
      </c>
      <c r="H8" s="158"/>
      <c r="I8" s="158">
        <v>28</v>
      </c>
      <c r="J8" s="158"/>
      <c r="K8" s="158">
        <v>53</v>
      </c>
      <c r="L8" s="158"/>
      <c r="M8" s="158"/>
      <c r="N8" s="158"/>
      <c r="O8" s="159">
        <v>48</v>
      </c>
      <c r="P8" s="13">
        <f t="shared" si="3"/>
        <v>209</v>
      </c>
      <c r="Q8" s="11">
        <f t="shared" si="4"/>
        <v>5</v>
      </c>
      <c r="R8" s="91">
        <f t="shared" si="5"/>
        <v>41.8</v>
      </c>
      <c r="S8" s="244">
        <f t="shared" si="6"/>
        <v>130.625</v>
      </c>
      <c r="T8" s="67">
        <v>32</v>
      </c>
      <c r="U8" s="157">
        <v>35</v>
      </c>
      <c r="V8" s="158">
        <v>41</v>
      </c>
      <c r="W8" s="158">
        <v>30</v>
      </c>
      <c r="X8" s="158"/>
      <c r="Y8" s="158">
        <v>31</v>
      </c>
      <c r="Z8" s="158">
        <v>20</v>
      </c>
      <c r="AA8" s="158"/>
      <c r="AB8" s="158"/>
      <c r="AC8" s="158"/>
      <c r="AD8" s="158"/>
      <c r="AE8" s="158"/>
      <c r="AF8" s="158"/>
      <c r="AG8" s="159"/>
      <c r="AH8" s="13">
        <f t="shared" si="7"/>
        <v>157</v>
      </c>
      <c r="AI8" s="11">
        <f t="shared" si="8"/>
        <v>5</v>
      </c>
      <c r="AJ8" s="12">
        <f t="shared" si="9"/>
        <v>31.4</v>
      </c>
      <c r="AK8" s="74"/>
      <c r="AL8" s="119">
        <f t="shared" si="10"/>
        <v>366</v>
      </c>
      <c r="AM8" s="91">
        <f t="shared" si="11"/>
        <v>10</v>
      </c>
      <c r="AN8" s="91">
        <f t="shared" si="12"/>
        <v>36.6</v>
      </c>
      <c r="AO8" s="244">
        <f t="shared" si="13"/>
        <v>114.375</v>
      </c>
      <c r="AP8" s="248">
        <f t="shared" si="14"/>
        <v>114.375</v>
      </c>
    </row>
    <row r="9" spans="1:48" s="10" customFormat="1" ht="20.100000000000001" customHeight="1">
      <c r="A9" s="26" t="s">
        <v>180</v>
      </c>
      <c r="B9" s="67">
        <v>15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4" t="str">
        <f t="shared" si="6"/>
        <v xml:space="preserve"> </v>
      </c>
      <c r="T9" s="67">
        <v>15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4" t="str">
        <f t="shared" si="13"/>
        <v xml:space="preserve"> </v>
      </c>
      <c r="AP9" s="248" t="str">
        <f t="shared" si="14"/>
        <v>0</v>
      </c>
      <c r="AV9" s="303"/>
    </row>
    <row r="10" spans="1:48" s="10" customFormat="1" ht="20.100000000000001" customHeight="1">
      <c r="A10" s="26" t="s">
        <v>359</v>
      </c>
      <c r="B10" s="126">
        <v>43</v>
      </c>
      <c r="C10" s="157">
        <v>27</v>
      </c>
      <c r="D10" s="158"/>
      <c r="E10" s="158"/>
      <c r="F10" s="158">
        <v>47</v>
      </c>
      <c r="G10" s="158"/>
      <c r="H10" s="158"/>
      <c r="I10" s="158">
        <v>54</v>
      </c>
      <c r="J10" s="158">
        <v>49</v>
      </c>
      <c r="K10" s="158"/>
      <c r="L10" s="158">
        <v>20</v>
      </c>
      <c r="M10" s="158"/>
      <c r="N10" s="158"/>
      <c r="O10" s="159"/>
      <c r="P10" s="13">
        <f t="shared" si="3"/>
        <v>197</v>
      </c>
      <c r="Q10" s="11">
        <f t="shared" si="4"/>
        <v>5</v>
      </c>
      <c r="R10" s="91">
        <f t="shared" si="5"/>
        <v>39.4</v>
      </c>
      <c r="S10" s="244">
        <f t="shared" si="6"/>
        <v>101.02564102564102</v>
      </c>
      <c r="T10" s="235">
        <v>39</v>
      </c>
      <c r="U10" s="157"/>
      <c r="V10" s="158"/>
      <c r="W10" s="158"/>
      <c r="X10" s="158">
        <v>30</v>
      </c>
      <c r="Y10" s="158">
        <v>27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57</v>
      </c>
      <c r="AI10" s="11">
        <f t="shared" si="8"/>
        <v>2</v>
      </c>
      <c r="AJ10" s="12">
        <f t="shared" si="9"/>
        <v>28.5</v>
      </c>
      <c r="AK10" s="74"/>
      <c r="AL10" s="119">
        <f t="shared" si="10"/>
        <v>254</v>
      </c>
      <c r="AM10" s="91">
        <f t="shared" si="11"/>
        <v>7</v>
      </c>
      <c r="AN10" s="91">
        <f t="shared" si="12"/>
        <v>36.285714285714285</v>
      </c>
      <c r="AO10" s="244">
        <f t="shared" si="13"/>
        <v>93.040293040293037</v>
      </c>
      <c r="AP10" s="248">
        <f t="shared" si="14"/>
        <v>93.040293040293037</v>
      </c>
    </row>
    <row r="11" spans="1:48" s="10" customFormat="1" ht="20.100000000000001" customHeight="1">
      <c r="A11" s="26" t="s">
        <v>349</v>
      </c>
      <c r="B11" s="126">
        <v>35</v>
      </c>
      <c r="C11" s="157"/>
      <c r="D11" s="158">
        <v>24</v>
      </c>
      <c r="E11" s="158"/>
      <c r="F11" s="158">
        <v>49</v>
      </c>
      <c r="G11" s="158">
        <v>32</v>
      </c>
      <c r="H11" s="231">
        <v>68</v>
      </c>
      <c r="I11" s="158">
        <v>40</v>
      </c>
      <c r="J11" s="158"/>
      <c r="K11" s="158">
        <v>40</v>
      </c>
      <c r="L11" s="158">
        <v>24</v>
      </c>
      <c r="M11" s="158"/>
      <c r="N11" s="158">
        <v>62</v>
      </c>
      <c r="O11" s="159">
        <v>50</v>
      </c>
      <c r="P11" s="13">
        <f t="shared" si="3"/>
        <v>389</v>
      </c>
      <c r="Q11" s="11">
        <f t="shared" si="4"/>
        <v>9</v>
      </c>
      <c r="R11" s="91">
        <f t="shared" si="5"/>
        <v>43.222222222222221</v>
      </c>
      <c r="S11" s="244">
        <f t="shared" si="6"/>
        <v>100.51679586563307</v>
      </c>
      <c r="T11" s="235">
        <v>43</v>
      </c>
      <c r="U11" s="157"/>
      <c r="V11" s="158">
        <v>37</v>
      </c>
      <c r="W11" s="158">
        <v>45</v>
      </c>
      <c r="X11" s="158">
        <v>35</v>
      </c>
      <c r="Y11" s="158">
        <v>25</v>
      </c>
      <c r="Z11" s="158">
        <v>54</v>
      </c>
      <c r="AA11" s="158">
        <v>23</v>
      </c>
      <c r="AB11" s="158"/>
      <c r="AC11" s="158"/>
      <c r="AD11" s="158"/>
      <c r="AE11" s="158"/>
      <c r="AF11" s="158"/>
      <c r="AG11" s="159"/>
      <c r="AH11" s="13">
        <f t="shared" si="7"/>
        <v>219</v>
      </c>
      <c r="AI11" s="11">
        <f t="shared" si="8"/>
        <v>6</v>
      </c>
      <c r="AJ11" s="12">
        <f t="shared" si="9"/>
        <v>36.5</v>
      </c>
      <c r="AK11" s="74"/>
      <c r="AL11" s="119">
        <f t="shared" si="10"/>
        <v>608</v>
      </c>
      <c r="AM11" s="91">
        <f t="shared" si="11"/>
        <v>15</v>
      </c>
      <c r="AN11" s="91">
        <f t="shared" si="12"/>
        <v>40.533333333333331</v>
      </c>
      <c r="AO11" s="244">
        <f t="shared" si="13"/>
        <v>94.263565891472865</v>
      </c>
      <c r="AP11" s="248">
        <f t="shared" si="14"/>
        <v>94.263565891472865</v>
      </c>
    </row>
    <row r="12" spans="1:48" s="10" customFormat="1" ht="20.100000000000001" customHeight="1">
      <c r="A12" s="66" t="s">
        <v>181</v>
      </c>
      <c r="B12" s="67">
        <v>109</v>
      </c>
      <c r="C12" s="157"/>
      <c r="D12" s="158"/>
      <c r="E12" s="158"/>
      <c r="F12" s="158"/>
      <c r="G12" s="158">
        <v>143</v>
      </c>
      <c r="H12" s="158"/>
      <c r="I12" s="158"/>
      <c r="J12" s="158"/>
      <c r="K12" s="158"/>
      <c r="L12" s="158"/>
      <c r="M12" s="158">
        <v>190</v>
      </c>
      <c r="N12" s="158"/>
      <c r="O12" s="159"/>
      <c r="P12" s="13">
        <f t="shared" si="3"/>
        <v>333</v>
      </c>
      <c r="Q12" s="11">
        <f t="shared" si="4"/>
        <v>2</v>
      </c>
      <c r="R12" s="91">
        <f t="shared" si="5"/>
        <v>166.5</v>
      </c>
      <c r="S12" s="244">
        <f t="shared" si="6"/>
        <v>152.75229357798165</v>
      </c>
      <c r="T12" s="67">
        <v>109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4"/>
      <c r="AL12" s="119">
        <f t="shared" si="10"/>
        <v>333</v>
      </c>
      <c r="AM12" s="91">
        <f t="shared" si="11"/>
        <v>2</v>
      </c>
      <c r="AN12" s="91">
        <f t="shared" si="12"/>
        <v>166.5</v>
      </c>
      <c r="AO12" s="244">
        <f t="shared" si="13"/>
        <v>152.75229357798165</v>
      </c>
      <c r="AP12" s="248" t="str">
        <f t="shared" si="14"/>
        <v>0</v>
      </c>
    </row>
    <row r="13" spans="1:48" s="10" customFormat="1" ht="20.100000000000001" customHeight="1">
      <c r="A13" s="26" t="s">
        <v>182</v>
      </c>
      <c r="B13" s="67">
        <v>45</v>
      </c>
      <c r="C13" s="157"/>
      <c r="D13" s="158">
        <v>67</v>
      </c>
      <c r="E13" s="232">
        <v>55</v>
      </c>
      <c r="F13" s="158"/>
      <c r="G13" s="158"/>
      <c r="H13" s="231">
        <v>69</v>
      </c>
      <c r="I13" s="158">
        <v>39</v>
      </c>
      <c r="J13" s="158">
        <v>50</v>
      </c>
      <c r="K13" s="158">
        <v>53</v>
      </c>
      <c r="L13" s="158">
        <v>29</v>
      </c>
      <c r="M13" s="158">
        <v>39</v>
      </c>
      <c r="N13" s="158">
        <v>42</v>
      </c>
      <c r="O13" s="159">
        <v>47</v>
      </c>
      <c r="P13" s="13">
        <f t="shared" si="3"/>
        <v>490</v>
      </c>
      <c r="Q13" s="11">
        <f t="shared" si="4"/>
        <v>10</v>
      </c>
      <c r="R13" s="91">
        <f t="shared" si="5"/>
        <v>49</v>
      </c>
      <c r="S13" s="244">
        <f t="shared" si="6"/>
        <v>108.88888888888889</v>
      </c>
      <c r="T13" s="67">
        <v>45</v>
      </c>
      <c r="U13" s="157"/>
      <c r="V13" s="158"/>
      <c r="W13" s="158">
        <v>47</v>
      </c>
      <c r="X13" s="158">
        <v>69</v>
      </c>
      <c r="Y13" s="158">
        <v>37</v>
      </c>
      <c r="Z13" s="158">
        <v>73</v>
      </c>
      <c r="AA13" s="158">
        <v>35</v>
      </c>
      <c r="AB13" s="158"/>
      <c r="AC13" s="158"/>
      <c r="AD13" s="158"/>
      <c r="AE13" s="158"/>
      <c r="AF13" s="158"/>
      <c r="AG13" s="159"/>
      <c r="AH13" s="13">
        <f t="shared" si="7"/>
        <v>261</v>
      </c>
      <c r="AI13" s="11">
        <f t="shared" si="8"/>
        <v>5</v>
      </c>
      <c r="AJ13" s="12">
        <f t="shared" si="9"/>
        <v>52.2</v>
      </c>
      <c r="AK13" s="74"/>
      <c r="AL13" s="119">
        <f t="shared" si="10"/>
        <v>751</v>
      </c>
      <c r="AM13" s="91">
        <f t="shared" si="11"/>
        <v>15</v>
      </c>
      <c r="AN13" s="91">
        <f t="shared" si="12"/>
        <v>50.06666666666667</v>
      </c>
      <c r="AO13" s="244">
        <f t="shared" si="13"/>
        <v>111.25925925925925</v>
      </c>
      <c r="AP13" s="248">
        <f t="shared" si="14"/>
        <v>111.25925925925925</v>
      </c>
    </row>
    <row r="14" spans="1:48" s="10" customFormat="1" ht="20.100000000000001" customHeight="1">
      <c r="A14" s="26" t="s">
        <v>183</v>
      </c>
      <c r="B14" s="67">
        <v>35</v>
      </c>
      <c r="C14" s="157">
        <v>34</v>
      </c>
      <c r="D14" s="158"/>
      <c r="E14" s="232">
        <v>36</v>
      </c>
      <c r="F14" s="158">
        <v>19</v>
      </c>
      <c r="G14" s="158">
        <v>37</v>
      </c>
      <c r="H14" s="158"/>
      <c r="I14" s="158"/>
      <c r="J14" s="158">
        <v>23</v>
      </c>
      <c r="K14" s="158">
        <v>32</v>
      </c>
      <c r="L14" s="158"/>
      <c r="M14" s="158">
        <v>35</v>
      </c>
      <c r="N14" s="158"/>
      <c r="O14" s="159">
        <v>53</v>
      </c>
      <c r="P14" s="13">
        <f t="shared" si="3"/>
        <v>269</v>
      </c>
      <c r="Q14" s="11">
        <f t="shared" si="4"/>
        <v>8</v>
      </c>
      <c r="R14" s="91">
        <f t="shared" si="5"/>
        <v>33.625</v>
      </c>
      <c r="S14" s="244">
        <f t="shared" si="6"/>
        <v>96.071428571428569</v>
      </c>
      <c r="T14" s="67">
        <v>35</v>
      </c>
      <c r="U14" s="157">
        <v>25</v>
      </c>
      <c r="V14" s="158"/>
      <c r="W14" s="158">
        <v>48</v>
      </c>
      <c r="X14" s="158"/>
      <c r="Y14" s="158">
        <v>30</v>
      </c>
      <c r="Z14" s="158"/>
      <c r="AA14" s="158">
        <v>26</v>
      </c>
      <c r="AB14" s="158"/>
      <c r="AC14" s="158"/>
      <c r="AD14" s="158"/>
      <c r="AE14" s="158"/>
      <c r="AF14" s="158"/>
      <c r="AG14" s="159"/>
      <c r="AH14" s="13">
        <f t="shared" si="7"/>
        <v>129</v>
      </c>
      <c r="AI14" s="11">
        <f t="shared" si="8"/>
        <v>4</v>
      </c>
      <c r="AJ14" s="12">
        <f t="shared" si="9"/>
        <v>32.25</v>
      </c>
      <c r="AK14" s="74"/>
      <c r="AL14" s="119">
        <f t="shared" si="10"/>
        <v>398</v>
      </c>
      <c r="AM14" s="91">
        <f t="shared" si="11"/>
        <v>12</v>
      </c>
      <c r="AN14" s="91">
        <f t="shared" si="12"/>
        <v>33.166666666666664</v>
      </c>
      <c r="AO14" s="244">
        <f t="shared" si="13"/>
        <v>94.761904761904759</v>
      </c>
      <c r="AP14" s="248">
        <f t="shared" si="14"/>
        <v>94.761904761904759</v>
      </c>
    </row>
    <row r="15" spans="1:48" s="10" customFormat="1" ht="20.100000000000001" customHeight="1">
      <c r="A15" s="26" t="s">
        <v>184</v>
      </c>
      <c r="B15" s="67">
        <v>50</v>
      </c>
      <c r="C15" s="157"/>
      <c r="D15" s="158">
        <v>45</v>
      </c>
      <c r="E15" s="232">
        <v>79</v>
      </c>
      <c r="F15" s="158"/>
      <c r="G15" s="158"/>
      <c r="H15" s="158"/>
      <c r="I15" s="158"/>
      <c r="J15" s="158"/>
      <c r="K15" s="158"/>
      <c r="L15" s="158"/>
      <c r="M15" s="158"/>
      <c r="N15" s="158">
        <v>52</v>
      </c>
      <c r="O15" s="159"/>
      <c r="P15" s="13">
        <f t="shared" si="3"/>
        <v>176</v>
      </c>
      <c r="Q15" s="11">
        <f t="shared" si="4"/>
        <v>3</v>
      </c>
      <c r="R15" s="91">
        <f t="shared" si="5"/>
        <v>58.666666666666664</v>
      </c>
      <c r="S15" s="244">
        <f t="shared" si="6"/>
        <v>117.33333333333333</v>
      </c>
      <c r="T15" s="67">
        <v>50</v>
      </c>
      <c r="U15" s="157"/>
      <c r="V15" s="158">
        <v>55</v>
      </c>
      <c r="W15" s="158"/>
      <c r="X15" s="158"/>
      <c r="Y15" s="158"/>
      <c r="Z15" s="158"/>
      <c r="AA15" s="158">
        <v>60</v>
      </c>
      <c r="AB15" s="158"/>
      <c r="AC15" s="158"/>
      <c r="AD15" s="158"/>
      <c r="AE15" s="158"/>
      <c r="AF15" s="158"/>
      <c r="AG15" s="159"/>
      <c r="AH15" s="13">
        <f t="shared" si="7"/>
        <v>115</v>
      </c>
      <c r="AI15" s="11">
        <f t="shared" si="8"/>
        <v>2</v>
      </c>
      <c r="AJ15" s="12">
        <f t="shared" si="9"/>
        <v>57.5</v>
      </c>
      <c r="AK15" s="74"/>
      <c r="AL15" s="119">
        <f t="shared" si="10"/>
        <v>291</v>
      </c>
      <c r="AM15" s="91">
        <f t="shared" si="11"/>
        <v>5</v>
      </c>
      <c r="AN15" s="91">
        <f t="shared" si="12"/>
        <v>58.2</v>
      </c>
      <c r="AO15" s="244">
        <f t="shared" si="13"/>
        <v>116.39999999999999</v>
      </c>
      <c r="AP15" s="248" t="str">
        <f t="shared" si="14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9">
        <f t="shared" ref="T16:T18" si="15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3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192</v>
      </c>
      <c r="Z19" s="19">
        <f t="shared" si="17"/>
        <v>245</v>
      </c>
      <c r="AA19" s="19">
        <f t="shared" si="17"/>
        <v>212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1638</v>
      </c>
      <c r="AI19" s="18">
        <f>SUM(AI4:AI18)</f>
        <v>42</v>
      </c>
      <c r="AJ19" s="23">
        <f>AH19/AI19</f>
        <v>39</v>
      </c>
      <c r="AK19" s="75"/>
      <c r="AL19" s="24">
        <f>SUM(AL4:AL18)</f>
        <v>5165</v>
      </c>
      <c r="AM19" s="18">
        <f>SUM(AM4:AM18)</f>
        <v>120</v>
      </c>
      <c r="AN19" s="18">
        <f t="shared" ref="AN19" si="19">AL19/AM19</f>
        <v>43.041666666666664</v>
      </c>
      <c r="AO19" s="2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7">
    <pageSetUpPr fitToPage="1"/>
  </sheetPr>
  <dimension ref="A1:AV24"/>
  <sheetViews>
    <sheetView showGridLines="0" showRowColHeaders="0" zoomScale="80" zoomScaleNormal="80" workbookViewId="0">
      <selection activeCell="A12" sqref="A12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8" ht="30" customHeight="1" thickBot="1">
      <c r="A1" s="327" t="s">
        <v>281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1"/>
      <c r="AL1" s="329" t="s">
        <v>41</v>
      </c>
      <c r="AM1" s="329"/>
      <c r="AN1" s="329"/>
      <c r="AO1" s="330"/>
      <c r="AP1" s="249">
        <f>IF(Rangschikking!A3&gt;=27,0,Rangschikking!A3)</f>
        <v>6</v>
      </c>
    </row>
    <row r="2" spans="1:48" ht="121.5" customHeight="1" thickBot="1">
      <c r="A2" s="331" t="s">
        <v>295</v>
      </c>
      <c r="B2" s="333" t="s">
        <v>42</v>
      </c>
      <c r="C2" s="335" t="s">
        <v>165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35" t="s">
        <v>128</v>
      </c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7"/>
      <c r="AH2" s="325" t="s">
        <v>44</v>
      </c>
      <c r="AI2" s="321" t="s">
        <v>45</v>
      </c>
      <c r="AJ2" s="323" t="s">
        <v>49</v>
      </c>
      <c r="AK2" s="72"/>
      <c r="AL2" s="325" t="s">
        <v>44</v>
      </c>
      <c r="AM2" s="321" t="s">
        <v>45</v>
      </c>
      <c r="AN2" s="321" t="s">
        <v>50</v>
      </c>
      <c r="AO2" s="323" t="s">
        <v>282</v>
      </c>
    </row>
    <row r="3" spans="1:48" ht="15" customHeight="1" thickBot="1">
      <c r="A3" s="332"/>
      <c r="B3" s="33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6"/>
      <c r="AI3" s="322"/>
      <c r="AJ3" s="324"/>
      <c r="AK3" s="73"/>
      <c r="AL3" s="326"/>
      <c r="AM3" s="322"/>
      <c r="AN3" s="322"/>
      <c r="AO3" s="324"/>
    </row>
    <row r="4" spans="1:48" s="10" customFormat="1" ht="20.100000000000001" customHeight="1">
      <c r="A4" s="171" t="s">
        <v>185</v>
      </c>
      <c r="B4" s="131">
        <v>29</v>
      </c>
      <c r="C4" s="154">
        <v>21</v>
      </c>
      <c r="D4" s="155"/>
      <c r="E4" s="155">
        <v>24</v>
      </c>
      <c r="F4" s="155"/>
      <c r="G4" s="155"/>
      <c r="H4" s="155">
        <v>31</v>
      </c>
      <c r="I4" s="155">
        <v>29</v>
      </c>
      <c r="J4" s="155">
        <v>27</v>
      </c>
      <c r="K4" s="155">
        <v>37</v>
      </c>
      <c r="L4" s="155"/>
      <c r="M4" s="155">
        <v>32</v>
      </c>
      <c r="N4" s="155"/>
      <c r="O4" s="156"/>
      <c r="P4" s="9">
        <f>SUM(C4:O4)</f>
        <v>201</v>
      </c>
      <c r="Q4" s="8">
        <f>COUNTIF(C4:O4,"&gt;0")</f>
        <v>7</v>
      </c>
      <c r="R4" s="118">
        <f>IF(P4=0," ",P4/Q4)</f>
        <v>28.714285714285715</v>
      </c>
      <c r="S4" s="243">
        <f t="shared" ref="S4:S18" si="0">IF(P4=0," ",P4/(Q4*T4)*100)</f>
        <v>99.01477832512316</v>
      </c>
      <c r="T4" s="131">
        <v>29</v>
      </c>
      <c r="U4" s="154"/>
      <c r="V4" s="155">
        <v>44</v>
      </c>
      <c r="W4" s="155"/>
      <c r="X4" s="155">
        <v>36</v>
      </c>
      <c r="Y4" s="155"/>
      <c r="Z4" s="155">
        <v>26</v>
      </c>
      <c r="AA4" s="155">
        <v>17</v>
      </c>
      <c r="AB4" s="155"/>
      <c r="AC4" s="155"/>
      <c r="AD4" s="155"/>
      <c r="AE4" s="155"/>
      <c r="AF4" s="155"/>
      <c r="AG4" s="156"/>
      <c r="AH4" s="9">
        <f>SUM(U4:AG4)</f>
        <v>123</v>
      </c>
      <c r="AI4" s="8">
        <f>COUNTIF(U4:AG4,"&gt;0")</f>
        <v>4</v>
      </c>
      <c r="AJ4" s="90">
        <f>IF(AH4=0," ",AH4/AI4)</f>
        <v>30.75</v>
      </c>
      <c r="AK4" s="74"/>
      <c r="AL4" s="117">
        <f t="shared" ref="AL4:AM18" si="1">P4+AH4</f>
        <v>324</v>
      </c>
      <c r="AM4" s="118">
        <f t="shared" si="1"/>
        <v>11</v>
      </c>
      <c r="AN4" s="118">
        <f>IF(AL4=0," ",AL4/AM4)</f>
        <v>29.454545454545453</v>
      </c>
      <c r="AO4" s="243">
        <f>IF(AL4=0," ",AL4/(AM4*T4)*100)</f>
        <v>101.56739811912226</v>
      </c>
      <c r="AP4" s="248">
        <f>IF($AM4&gt;=$AP$1,$AL4/($AM4*$T4)*100,"0")</f>
        <v>101.56739811912226</v>
      </c>
    </row>
    <row r="5" spans="1:48" s="10" customFormat="1" ht="20.100000000000001" customHeight="1">
      <c r="A5" s="66" t="s">
        <v>186</v>
      </c>
      <c r="B5" s="67">
        <v>36</v>
      </c>
      <c r="C5" s="157">
        <v>33</v>
      </c>
      <c r="D5" s="158"/>
      <c r="E5" s="158">
        <v>47</v>
      </c>
      <c r="F5" s="158">
        <v>53</v>
      </c>
      <c r="G5" s="158"/>
      <c r="H5" s="158">
        <v>52</v>
      </c>
      <c r="I5" s="158"/>
      <c r="J5" s="158"/>
      <c r="K5" s="158"/>
      <c r="L5" s="158"/>
      <c r="M5" s="158">
        <v>31</v>
      </c>
      <c r="N5" s="158">
        <v>54</v>
      </c>
      <c r="O5" s="159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1">
        <f t="shared" ref="R5:R18" si="4">IF(P5=0," ",P5/Q5)</f>
        <v>43.857142857142854</v>
      </c>
      <c r="S5" s="244">
        <f t="shared" si="0"/>
        <v>121.82539682539681</v>
      </c>
      <c r="T5" s="67">
        <v>36</v>
      </c>
      <c r="U5" s="157"/>
      <c r="V5" s="158">
        <v>21</v>
      </c>
      <c r="W5" s="158">
        <v>34</v>
      </c>
      <c r="X5" s="158">
        <v>29</v>
      </c>
      <c r="Y5" s="158">
        <v>58</v>
      </c>
      <c r="Z5" s="158"/>
      <c r="AA5" s="158">
        <v>55</v>
      </c>
      <c r="AB5" s="158"/>
      <c r="AC5" s="158"/>
      <c r="AD5" s="158"/>
      <c r="AE5" s="158"/>
      <c r="AF5" s="158"/>
      <c r="AG5" s="159"/>
      <c r="AH5" s="13">
        <f t="shared" ref="AH5:AH18" si="5">SUM(U5:AG5)</f>
        <v>197</v>
      </c>
      <c r="AI5" s="11">
        <f t="shared" ref="AI5:AI18" si="6">COUNTIF(U5:AG5,"&gt;0")</f>
        <v>5</v>
      </c>
      <c r="AJ5" s="12">
        <f t="shared" ref="AJ5:AJ18" si="7">IF(AH5=0," ",AH5/AI5)</f>
        <v>39.4</v>
      </c>
      <c r="AK5" s="74"/>
      <c r="AL5" s="119">
        <f t="shared" si="1"/>
        <v>504</v>
      </c>
      <c r="AM5" s="91">
        <f t="shared" si="1"/>
        <v>12</v>
      </c>
      <c r="AN5" s="91">
        <f t="shared" ref="AN5:AN18" si="8">IF(AL5=0," ",AL5/AM5)</f>
        <v>42</v>
      </c>
      <c r="AO5" s="244">
        <f t="shared" ref="AO5:AO18" si="9">IF(AL5=0," ",AL5/(AM5*T5)*100)</f>
        <v>116.66666666666667</v>
      </c>
      <c r="AP5" s="248">
        <f t="shared" ref="AP5:AP18" si="10">IF($AM5&gt;=$AP$1,$AL5/($AM5*$T5)*100,"0")</f>
        <v>116.66666666666667</v>
      </c>
    </row>
    <row r="6" spans="1:48" s="10" customFormat="1" ht="20.100000000000001" customHeight="1">
      <c r="A6" s="26" t="s">
        <v>187</v>
      </c>
      <c r="B6" s="67">
        <v>46</v>
      </c>
      <c r="C6" s="157"/>
      <c r="D6" s="158">
        <v>31</v>
      </c>
      <c r="E6" s="158"/>
      <c r="F6" s="158">
        <v>36</v>
      </c>
      <c r="G6" s="158"/>
      <c r="H6" s="158">
        <v>32</v>
      </c>
      <c r="I6" s="158">
        <v>49</v>
      </c>
      <c r="J6" s="158">
        <v>51</v>
      </c>
      <c r="K6" s="158">
        <v>31</v>
      </c>
      <c r="L6" s="158">
        <v>35</v>
      </c>
      <c r="M6" s="158">
        <v>52</v>
      </c>
      <c r="N6" s="158"/>
      <c r="O6" s="159">
        <v>58</v>
      </c>
      <c r="P6" s="13">
        <f t="shared" si="2"/>
        <v>375</v>
      </c>
      <c r="Q6" s="11">
        <f t="shared" si="3"/>
        <v>9</v>
      </c>
      <c r="R6" s="91">
        <f t="shared" si="4"/>
        <v>41.666666666666664</v>
      </c>
      <c r="S6" s="244">
        <f t="shared" si="0"/>
        <v>90.579710144927532</v>
      </c>
      <c r="T6" s="67">
        <v>46</v>
      </c>
      <c r="U6" s="157">
        <v>44</v>
      </c>
      <c r="V6" s="158">
        <v>60</v>
      </c>
      <c r="W6" s="158"/>
      <c r="X6" s="158"/>
      <c r="Y6" s="158">
        <v>35</v>
      </c>
      <c r="Z6" s="158">
        <v>55</v>
      </c>
      <c r="AA6" s="158">
        <v>52</v>
      </c>
      <c r="AB6" s="158"/>
      <c r="AC6" s="158"/>
      <c r="AD6" s="158"/>
      <c r="AE6" s="158"/>
      <c r="AF6" s="158"/>
      <c r="AG6" s="159"/>
      <c r="AH6" s="13">
        <f t="shared" si="5"/>
        <v>246</v>
      </c>
      <c r="AI6" s="11">
        <f t="shared" si="6"/>
        <v>5</v>
      </c>
      <c r="AJ6" s="12">
        <f t="shared" si="7"/>
        <v>49.2</v>
      </c>
      <c r="AK6" s="74"/>
      <c r="AL6" s="119">
        <f t="shared" si="1"/>
        <v>621</v>
      </c>
      <c r="AM6" s="91">
        <f t="shared" si="1"/>
        <v>14</v>
      </c>
      <c r="AN6" s="91">
        <f t="shared" si="8"/>
        <v>44.357142857142854</v>
      </c>
      <c r="AO6" s="244">
        <f t="shared" si="9"/>
        <v>96.428571428571431</v>
      </c>
      <c r="AP6" s="248">
        <f t="shared" si="10"/>
        <v>96.428571428571431</v>
      </c>
    </row>
    <row r="7" spans="1:48" s="10" customFormat="1" ht="20.100000000000001" customHeight="1">
      <c r="A7" s="26" t="s">
        <v>188</v>
      </c>
      <c r="B7" s="67">
        <v>33</v>
      </c>
      <c r="C7" s="157">
        <v>29</v>
      </c>
      <c r="D7" s="158"/>
      <c r="E7" s="158"/>
      <c r="F7" s="158">
        <v>37</v>
      </c>
      <c r="G7" s="158">
        <v>35</v>
      </c>
      <c r="H7" s="158"/>
      <c r="I7" s="158"/>
      <c r="J7" s="158"/>
      <c r="K7" s="158">
        <v>26</v>
      </c>
      <c r="L7" s="158">
        <v>35</v>
      </c>
      <c r="M7" s="158"/>
      <c r="N7" s="158">
        <v>44</v>
      </c>
      <c r="O7" s="159">
        <v>45</v>
      </c>
      <c r="P7" s="13">
        <f t="shared" si="2"/>
        <v>251</v>
      </c>
      <c r="Q7" s="11">
        <f t="shared" si="3"/>
        <v>7</v>
      </c>
      <c r="R7" s="91">
        <f t="shared" si="4"/>
        <v>35.857142857142854</v>
      </c>
      <c r="S7" s="244">
        <f t="shared" si="0"/>
        <v>108.65800865800865</v>
      </c>
      <c r="T7" s="67">
        <v>33</v>
      </c>
      <c r="U7" s="157"/>
      <c r="V7" s="158">
        <v>22</v>
      </c>
      <c r="W7" s="158">
        <v>42</v>
      </c>
      <c r="X7" s="158">
        <v>15</v>
      </c>
      <c r="Y7" s="158">
        <v>11</v>
      </c>
      <c r="Z7" s="158"/>
      <c r="AA7" s="158">
        <v>62</v>
      </c>
      <c r="AB7" s="158"/>
      <c r="AC7" s="158"/>
      <c r="AD7" s="158"/>
      <c r="AE7" s="158"/>
      <c r="AF7" s="158"/>
      <c r="AG7" s="159"/>
      <c r="AH7" s="13">
        <f t="shared" si="5"/>
        <v>152</v>
      </c>
      <c r="AI7" s="11">
        <f t="shared" si="6"/>
        <v>5</v>
      </c>
      <c r="AJ7" s="12">
        <f t="shared" si="7"/>
        <v>30.4</v>
      </c>
      <c r="AK7" s="74"/>
      <c r="AL7" s="119">
        <f t="shared" si="1"/>
        <v>403</v>
      </c>
      <c r="AM7" s="91">
        <f t="shared" si="1"/>
        <v>12</v>
      </c>
      <c r="AN7" s="91">
        <f t="shared" si="8"/>
        <v>33.583333333333336</v>
      </c>
      <c r="AO7" s="244">
        <f t="shared" si="9"/>
        <v>101.76767676767678</v>
      </c>
      <c r="AP7" s="248">
        <f t="shared" si="10"/>
        <v>101.76767676767678</v>
      </c>
    </row>
    <row r="8" spans="1:48" s="10" customFormat="1" ht="20.100000000000001" customHeight="1">
      <c r="A8" s="26" t="s">
        <v>189</v>
      </c>
      <c r="B8" s="67">
        <v>24</v>
      </c>
      <c r="C8" s="157"/>
      <c r="D8" s="158">
        <v>27</v>
      </c>
      <c r="E8" s="158">
        <v>13</v>
      </c>
      <c r="F8" s="158"/>
      <c r="G8" s="158">
        <v>24</v>
      </c>
      <c r="H8" s="158">
        <v>19</v>
      </c>
      <c r="I8" s="158"/>
      <c r="J8" s="158">
        <v>10</v>
      </c>
      <c r="K8" s="158">
        <v>6</v>
      </c>
      <c r="L8" s="158">
        <v>12</v>
      </c>
      <c r="M8" s="158">
        <v>41</v>
      </c>
      <c r="N8" s="158"/>
      <c r="O8" s="159">
        <v>16</v>
      </c>
      <c r="P8" s="13">
        <f t="shared" si="2"/>
        <v>168</v>
      </c>
      <c r="Q8" s="11">
        <f t="shared" si="3"/>
        <v>9</v>
      </c>
      <c r="R8" s="91">
        <f t="shared" si="4"/>
        <v>18.666666666666668</v>
      </c>
      <c r="S8" s="244">
        <f t="shared" si="0"/>
        <v>77.777777777777786</v>
      </c>
      <c r="T8" s="67">
        <v>24</v>
      </c>
      <c r="U8" s="157"/>
      <c r="V8" s="158">
        <v>23</v>
      </c>
      <c r="W8" s="158">
        <v>15</v>
      </c>
      <c r="X8" s="158"/>
      <c r="Y8" s="158"/>
      <c r="Z8" s="158">
        <v>23</v>
      </c>
      <c r="AA8" s="158">
        <v>18</v>
      </c>
      <c r="AB8" s="158"/>
      <c r="AC8" s="158"/>
      <c r="AD8" s="158"/>
      <c r="AE8" s="158"/>
      <c r="AF8" s="158"/>
      <c r="AG8" s="159"/>
      <c r="AH8" s="13">
        <f t="shared" si="5"/>
        <v>79</v>
      </c>
      <c r="AI8" s="11">
        <f t="shared" si="6"/>
        <v>4</v>
      </c>
      <c r="AJ8" s="12">
        <f t="shared" si="7"/>
        <v>19.75</v>
      </c>
      <c r="AK8" s="74"/>
      <c r="AL8" s="119">
        <f t="shared" si="1"/>
        <v>247</v>
      </c>
      <c r="AM8" s="91">
        <f t="shared" si="1"/>
        <v>13</v>
      </c>
      <c r="AN8" s="91">
        <f t="shared" si="8"/>
        <v>19</v>
      </c>
      <c r="AO8" s="244">
        <f t="shared" si="9"/>
        <v>79.166666666666657</v>
      </c>
      <c r="AP8" s="248">
        <f t="shared" si="10"/>
        <v>79.166666666666657</v>
      </c>
    </row>
    <row r="9" spans="1:48" s="10" customFormat="1" ht="20.100000000000001" customHeight="1">
      <c r="A9" s="26" t="s">
        <v>190</v>
      </c>
      <c r="B9" s="67">
        <v>23</v>
      </c>
      <c r="C9" s="157">
        <v>19</v>
      </c>
      <c r="D9" s="158"/>
      <c r="E9" s="158">
        <v>24</v>
      </c>
      <c r="F9" s="158">
        <v>28</v>
      </c>
      <c r="G9" s="158">
        <v>15</v>
      </c>
      <c r="H9" s="158">
        <v>18</v>
      </c>
      <c r="I9" s="158">
        <v>29</v>
      </c>
      <c r="J9" s="158"/>
      <c r="K9" s="158"/>
      <c r="L9" s="158">
        <v>15</v>
      </c>
      <c r="M9" s="158"/>
      <c r="N9" s="158">
        <v>23</v>
      </c>
      <c r="O9" s="159"/>
      <c r="P9" s="13">
        <f t="shared" si="2"/>
        <v>171</v>
      </c>
      <c r="Q9" s="11">
        <f t="shared" si="3"/>
        <v>8</v>
      </c>
      <c r="R9" s="91">
        <f t="shared" si="4"/>
        <v>21.375</v>
      </c>
      <c r="S9" s="244">
        <f t="shared" si="0"/>
        <v>92.934782608695656</v>
      </c>
      <c r="T9" s="67">
        <v>23</v>
      </c>
      <c r="U9" s="157">
        <v>25</v>
      </c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25</v>
      </c>
      <c r="AI9" s="11">
        <f t="shared" si="6"/>
        <v>1</v>
      </c>
      <c r="AJ9" s="12">
        <f t="shared" si="7"/>
        <v>25</v>
      </c>
      <c r="AK9" s="74"/>
      <c r="AL9" s="119">
        <f t="shared" si="1"/>
        <v>196</v>
      </c>
      <c r="AM9" s="91">
        <f t="shared" si="1"/>
        <v>9</v>
      </c>
      <c r="AN9" s="91">
        <f t="shared" si="8"/>
        <v>21.777777777777779</v>
      </c>
      <c r="AO9" s="244">
        <f t="shared" si="9"/>
        <v>94.685990338164245</v>
      </c>
      <c r="AP9" s="248">
        <f t="shared" si="10"/>
        <v>94.685990338164245</v>
      </c>
      <c r="AV9" s="303"/>
    </row>
    <row r="10" spans="1:48" s="10" customFormat="1" ht="20.100000000000001" customHeight="1">
      <c r="A10" s="26" t="s">
        <v>191</v>
      </c>
      <c r="B10" s="67">
        <v>26</v>
      </c>
      <c r="C10" s="157">
        <v>24</v>
      </c>
      <c r="D10" s="158">
        <v>24</v>
      </c>
      <c r="E10" s="158"/>
      <c r="F10" s="158">
        <v>34</v>
      </c>
      <c r="G10" s="158">
        <v>31</v>
      </c>
      <c r="H10" s="158"/>
      <c r="I10" s="158">
        <v>31</v>
      </c>
      <c r="J10" s="158">
        <v>24</v>
      </c>
      <c r="K10" s="158"/>
      <c r="L10" s="158">
        <v>47</v>
      </c>
      <c r="M10" s="158"/>
      <c r="N10" s="158">
        <v>30</v>
      </c>
      <c r="O10" s="159"/>
      <c r="P10" s="13">
        <f t="shared" si="2"/>
        <v>245</v>
      </c>
      <c r="Q10" s="11">
        <f t="shared" si="3"/>
        <v>8</v>
      </c>
      <c r="R10" s="91">
        <f t="shared" si="4"/>
        <v>30.625</v>
      </c>
      <c r="S10" s="244">
        <f t="shared" si="0"/>
        <v>117.78846153846155</v>
      </c>
      <c r="T10" s="67">
        <v>26</v>
      </c>
      <c r="U10" s="157">
        <v>28</v>
      </c>
      <c r="V10" s="158"/>
      <c r="W10" s="158">
        <v>25</v>
      </c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70</v>
      </c>
      <c r="AI10" s="11">
        <f t="shared" si="6"/>
        <v>3</v>
      </c>
      <c r="AJ10" s="12">
        <f t="shared" si="7"/>
        <v>23.333333333333332</v>
      </c>
      <c r="AK10" s="74"/>
      <c r="AL10" s="119">
        <f t="shared" si="1"/>
        <v>315</v>
      </c>
      <c r="AM10" s="91">
        <f t="shared" si="1"/>
        <v>11</v>
      </c>
      <c r="AN10" s="91">
        <f t="shared" si="8"/>
        <v>28.636363636363637</v>
      </c>
      <c r="AO10" s="244">
        <f t="shared" si="9"/>
        <v>110.13986013986015</v>
      </c>
      <c r="AP10" s="248">
        <f t="shared" si="10"/>
        <v>110.13986013986015</v>
      </c>
    </row>
    <row r="11" spans="1:48" s="10" customFormat="1" ht="20.100000000000001" customHeight="1">
      <c r="A11" s="26" t="s">
        <v>192</v>
      </c>
      <c r="B11" s="67">
        <v>44</v>
      </c>
      <c r="C11" s="157"/>
      <c r="D11" s="158">
        <v>30</v>
      </c>
      <c r="E11" s="158"/>
      <c r="F11" s="158"/>
      <c r="G11" s="158"/>
      <c r="H11" s="158"/>
      <c r="I11" s="158">
        <v>45</v>
      </c>
      <c r="J11" s="158">
        <v>13</v>
      </c>
      <c r="K11" s="158">
        <v>60</v>
      </c>
      <c r="L11" s="158">
        <v>31</v>
      </c>
      <c r="M11" s="158">
        <v>36</v>
      </c>
      <c r="N11" s="158"/>
      <c r="O11" s="159">
        <v>58</v>
      </c>
      <c r="P11" s="13">
        <f t="shared" si="2"/>
        <v>273</v>
      </c>
      <c r="Q11" s="11">
        <f t="shared" si="3"/>
        <v>7</v>
      </c>
      <c r="R11" s="91">
        <f t="shared" si="4"/>
        <v>39</v>
      </c>
      <c r="S11" s="244">
        <f t="shared" si="0"/>
        <v>88.63636363636364</v>
      </c>
      <c r="T11" s="67">
        <v>44</v>
      </c>
      <c r="U11" s="157">
        <v>57</v>
      </c>
      <c r="V11" s="158">
        <v>40</v>
      </c>
      <c r="W11" s="158">
        <v>46</v>
      </c>
      <c r="X11" s="158">
        <v>45</v>
      </c>
      <c r="Y11" s="158">
        <v>29</v>
      </c>
      <c r="Z11" s="158">
        <v>29</v>
      </c>
      <c r="AA11" s="158"/>
      <c r="AB11" s="158"/>
      <c r="AC11" s="158"/>
      <c r="AD11" s="158"/>
      <c r="AE11" s="158"/>
      <c r="AF11" s="158"/>
      <c r="AG11" s="159"/>
      <c r="AH11" s="13">
        <f t="shared" si="5"/>
        <v>246</v>
      </c>
      <c r="AI11" s="11">
        <f t="shared" si="6"/>
        <v>6</v>
      </c>
      <c r="AJ11" s="12">
        <f t="shared" si="7"/>
        <v>41</v>
      </c>
      <c r="AK11" s="74"/>
      <c r="AL11" s="119">
        <f t="shared" si="1"/>
        <v>519</v>
      </c>
      <c r="AM11" s="91">
        <f t="shared" si="1"/>
        <v>13</v>
      </c>
      <c r="AN11" s="91">
        <f t="shared" si="8"/>
        <v>39.92307692307692</v>
      </c>
      <c r="AO11" s="244">
        <f t="shared" si="9"/>
        <v>90.734265734265733</v>
      </c>
      <c r="AP11" s="248">
        <f t="shared" si="10"/>
        <v>90.734265734265733</v>
      </c>
    </row>
    <row r="12" spans="1:48" s="10" customFormat="1" ht="20.100000000000001" customHeight="1">
      <c r="A12" s="26" t="s">
        <v>193</v>
      </c>
      <c r="B12" s="67">
        <v>28</v>
      </c>
      <c r="C12" s="157">
        <v>23</v>
      </c>
      <c r="D12" s="158">
        <v>16</v>
      </c>
      <c r="E12" s="158">
        <v>25</v>
      </c>
      <c r="F12" s="158">
        <v>24</v>
      </c>
      <c r="G12" s="158">
        <v>31</v>
      </c>
      <c r="H12" s="158">
        <v>32</v>
      </c>
      <c r="I12" s="158"/>
      <c r="J12" s="158"/>
      <c r="K12" s="158">
        <v>31</v>
      </c>
      <c r="L12" s="158"/>
      <c r="M12" s="158">
        <v>26</v>
      </c>
      <c r="N12" s="158">
        <v>37</v>
      </c>
      <c r="O12" s="159"/>
      <c r="P12" s="13">
        <f t="shared" si="2"/>
        <v>245</v>
      </c>
      <c r="Q12" s="11">
        <f t="shared" si="3"/>
        <v>9</v>
      </c>
      <c r="R12" s="91">
        <f t="shared" si="4"/>
        <v>27.222222222222221</v>
      </c>
      <c r="S12" s="244">
        <f t="shared" si="0"/>
        <v>97.222222222222214</v>
      </c>
      <c r="T12" s="67">
        <v>28</v>
      </c>
      <c r="U12" s="157">
        <v>18</v>
      </c>
      <c r="V12" s="158"/>
      <c r="W12" s="158">
        <v>29</v>
      </c>
      <c r="X12" s="158">
        <v>33</v>
      </c>
      <c r="Y12" s="158">
        <v>16</v>
      </c>
      <c r="Z12" s="158">
        <v>41</v>
      </c>
      <c r="AA12" s="158">
        <v>16</v>
      </c>
      <c r="AB12" s="158"/>
      <c r="AC12" s="158"/>
      <c r="AD12" s="158"/>
      <c r="AE12" s="158"/>
      <c r="AF12" s="158"/>
      <c r="AG12" s="159"/>
      <c r="AH12" s="13">
        <f t="shared" si="5"/>
        <v>153</v>
      </c>
      <c r="AI12" s="11">
        <f t="shared" si="6"/>
        <v>6</v>
      </c>
      <c r="AJ12" s="12">
        <f t="shared" si="7"/>
        <v>25.5</v>
      </c>
      <c r="AK12" s="74"/>
      <c r="AL12" s="119">
        <f t="shared" si="1"/>
        <v>398</v>
      </c>
      <c r="AM12" s="91">
        <f t="shared" si="1"/>
        <v>15</v>
      </c>
      <c r="AN12" s="91">
        <f t="shared" si="8"/>
        <v>26.533333333333335</v>
      </c>
      <c r="AO12" s="244">
        <f t="shared" si="9"/>
        <v>94.761904761904759</v>
      </c>
      <c r="AP12" s="248">
        <f t="shared" si="10"/>
        <v>94.761904761904759</v>
      </c>
    </row>
    <row r="13" spans="1:48" s="10" customFormat="1" ht="20.100000000000001" customHeight="1">
      <c r="A13" s="26" t="s">
        <v>194</v>
      </c>
      <c r="B13" s="67">
        <v>34</v>
      </c>
      <c r="C13" s="157"/>
      <c r="D13" s="158">
        <v>48</v>
      </c>
      <c r="E13" s="158">
        <v>13</v>
      </c>
      <c r="F13" s="158"/>
      <c r="G13" s="158">
        <v>27</v>
      </c>
      <c r="H13" s="158"/>
      <c r="I13" s="158">
        <v>37</v>
      </c>
      <c r="J13" s="158">
        <v>33</v>
      </c>
      <c r="K13" s="158"/>
      <c r="L13" s="158"/>
      <c r="M13" s="158"/>
      <c r="N13" s="158">
        <v>39</v>
      </c>
      <c r="O13" s="159">
        <v>26</v>
      </c>
      <c r="P13" s="13">
        <f t="shared" si="2"/>
        <v>223</v>
      </c>
      <c r="Q13" s="11">
        <f t="shared" si="3"/>
        <v>7</v>
      </c>
      <c r="R13" s="91">
        <f t="shared" si="4"/>
        <v>31.857142857142858</v>
      </c>
      <c r="S13" s="244">
        <f t="shared" si="0"/>
        <v>93.69747899159664</v>
      </c>
      <c r="T13" s="67">
        <v>34</v>
      </c>
      <c r="U13" s="157">
        <v>23</v>
      </c>
      <c r="V13" s="158"/>
      <c r="W13" s="158"/>
      <c r="X13" s="158">
        <v>41</v>
      </c>
      <c r="Y13" s="158"/>
      <c r="Z13" s="158">
        <v>21</v>
      </c>
      <c r="AA13" s="158"/>
      <c r="AB13" s="158"/>
      <c r="AC13" s="158"/>
      <c r="AD13" s="158"/>
      <c r="AE13" s="158"/>
      <c r="AF13" s="158"/>
      <c r="AG13" s="159"/>
      <c r="AH13" s="13">
        <f t="shared" si="5"/>
        <v>85</v>
      </c>
      <c r="AI13" s="11">
        <f t="shared" si="6"/>
        <v>3</v>
      </c>
      <c r="AJ13" s="12">
        <f t="shared" si="7"/>
        <v>28.333333333333332</v>
      </c>
      <c r="AK13" s="74"/>
      <c r="AL13" s="119">
        <f t="shared" si="1"/>
        <v>308</v>
      </c>
      <c r="AM13" s="91">
        <f t="shared" si="1"/>
        <v>10</v>
      </c>
      <c r="AN13" s="91">
        <f t="shared" si="8"/>
        <v>30.8</v>
      </c>
      <c r="AO13" s="244">
        <f t="shared" si="9"/>
        <v>90.588235294117652</v>
      </c>
      <c r="AP13" s="248">
        <f t="shared" si="10"/>
        <v>90.588235294117652</v>
      </c>
    </row>
    <row r="14" spans="1:48" s="10" customFormat="1" ht="20.100000000000001" customHeight="1">
      <c r="A14" s="26"/>
      <c r="B14" s="67"/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4" t="str">
        <f t="shared" si="0"/>
        <v xml:space="preserve"> </v>
      </c>
      <c r="T14" s="67"/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4"/>
      <c r="AL14" s="119">
        <f t="shared" si="1"/>
        <v>0</v>
      </c>
      <c r="AM14" s="91">
        <f t="shared" si="1"/>
        <v>0</v>
      </c>
      <c r="AN14" s="91" t="str">
        <f t="shared" si="8"/>
        <v xml:space="preserve"> </v>
      </c>
      <c r="AO14" s="244" t="str">
        <f t="shared" si="9"/>
        <v xml:space="preserve"> </v>
      </c>
      <c r="AP14" s="248" t="str">
        <f t="shared" si="10"/>
        <v>0</v>
      </c>
    </row>
    <row r="15" spans="1:48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 t="str">
        <f t="shared" si="0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1"/>
        <v>0</v>
      </c>
      <c r="AM15" s="91">
        <f t="shared" si="1"/>
        <v>0</v>
      </c>
      <c r="AN15" s="91" t="str">
        <f t="shared" si="8"/>
        <v xml:space="preserve"> </v>
      </c>
      <c r="AO15" s="244" t="str">
        <f t="shared" si="9"/>
        <v xml:space="preserve"> </v>
      </c>
      <c r="AP15" s="248" t="str">
        <f t="shared" si="10"/>
        <v>0</v>
      </c>
    </row>
    <row r="16" spans="1:48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0"/>
        <v xml:space="preserve"> </v>
      </c>
      <c r="T16" s="69">
        <f t="shared" ref="T16:T18" si="11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1"/>
        <v>0</v>
      </c>
      <c r="AM16" s="91">
        <f t="shared" si="1"/>
        <v>0</v>
      </c>
      <c r="AN16" s="91" t="str">
        <f t="shared" si="8"/>
        <v xml:space="preserve"> </v>
      </c>
      <c r="AO16" s="244" t="str">
        <f t="shared" si="9"/>
        <v xml:space="preserve"> </v>
      </c>
      <c r="AP16" s="248" t="str">
        <f t="shared" si="10"/>
        <v>0</v>
      </c>
    </row>
    <row r="17" spans="1:42" s="10" customFormat="1" ht="20.100000000000001" customHeight="1">
      <c r="A17" s="26" t="s">
        <v>127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0"/>
        <v xml:space="preserve"> </v>
      </c>
      <c r="T17" s="69">
        <f t="shared" si="11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1"/>
        <v>0</v>
      </c>
      <c r="AM17" s="91">
        <f t="shared" si="1"/>
        <v>0</v>
      </c>
      <c r="AN17" s="91" t="str">
        <f t="shared" si="8"/>
        <v xml:space="preserve"> </v>
      </c>
      <c r="AO17" s="244" t="str">
        <f t="shared" si="9"/>
        <v xml:space="preserve"> </v>
      </c>
      <c r="AP17" s="248" t="str">
        <f t="shared" si="10"/>
        <v>0</v>
      </c>
    </row>
    <row r="18" spans="1:42" s="10" customFormat="1" ht="20.100000000000001" customHeight="1" thickBot="1">
      <c r="A18" s="130" t="s">
        <v>127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0"/>
        <v xml:space="preserve"> </v>
      </c>
      <c r="T18" s="69">
        <f t="shared" si="11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1"/>
        <v>0</v>
      </c>
      <c r="AM18" s="121">
        <f t="shared" si="1"/>
        <v>0</v>
      </c>
      <c r="AN18" s="121" t="str">
        <f t="shared" si="8"/>
        <v xml:space="preserve"> </v>
      </c>
      <c r="AO18" s="245" t="str">
        <f t="shared" si="9"/>
        <v xml:space="preserve"> </v>
      </c>
      <c r="AP18" s="248" t="str">
        <f t="shared" si="10"/>
        <v>0</v>
      </c>
    </row>
    <row r="19" spans="1:42" s="25" customFormat="1" ht="20.100000000000001" customHeight="1" thickBot="1">
      <c r="A19" s="153">
        <f>COUNT(B2:B18)</f>
        <v>14</v>
      </c>
      <c r="B19" s="174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3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166</v>
      </c>
      <c r="Z19" s="19">
        <f t="shared" si="13"/>
        <v>195</v>
      </c>
      <c r="AA19" s="19">
        <f t="shared" si="13"/>
        <v>220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1376</v>
      </c>
      <c r="AI19" s="18">
        <f t="shared" si="13"/>
        <v>42</v>
      </c>
      <c r="AJ19" s="23">
        <f>AH19/AI19</f>
        <v>32.761904761904759</v>
      </c>
      <c r="AK19" s="75"/>
      <c r="AL19" s="24">
        <f>SUM(AL4:AL18)</f>
        <v>3835</v>
      </c>
      <c r="AM19" s="18">
        <f>SUM(AM4:AM18)</f>
        <v>120</v>
      </c>
      <c r="AN19" s="18">
        <f t="shared" ref="AN19" si="14">AL19/AM19</f>
        <v>31.958333333333332</v>
      </c>
      <c r="AO19" s="20"/>
      <c r="AP19" s="10"/>
    </row>
    <row r="24" spans="1:42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8">
    <pageSetUpPr fitToPage="1"/>
  </sheetPr>
  <dimension ref="B1:I88"/>
  <sheetViews>
    <sheetView showGridLines="0" showRowColHeaders="0" topLeftCell="A48" workbookViewId="0">
      <selection activeCell="R16" sqref="R16"/>
    </sheetView>
  </sheetViews>
  <sheetFormatPr defaultRowHeight="14.4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>
      <c r="B1" s="64" t="s">
        <v>303</v>
      </c>
      <c r="H1" s="87"/>
    </row>
    <row r="2" spans="2:9" s="7" customFormat="1" ht="12.9" customHeight="1" thickBot="1">
      <c r="B2" s="7" t="s">
        <v>22</v>
      </c>
      <c r="C2" s="29"/>
      <c r="E2" s="7" t="s">
        <v>23</v>
      </c>
      <c r="F2" s="29"/>
      <c r="H2" s="7" t="s">
        <v>24</v>
      </c>
      <c r="I2" s="54"/>
    </row>
    <row r="3" spans="2:9" ht="12.9" customHeight="1">
      <c r="B3" s="48" t="str">
        <f>Horendonk!A4</f>
        <v>Ansems Ferre</v>
      </c>
      <c r="C3" s="51">
        <f>Horendonk!T4</f>
        <v>19</v>
      </c>
      <c r="E3" s="48" t="str">
        <f>Kerkuilen!A4</f>
        <v xml:space="preserve">Antonissen Gust      </v>
      </c>
      <c r="F3" s="51">
        <f>Kerkuilen!T4</f>
        <v>31</v>
      </c>
      <c r="H3" s="48" t="str">
        <f>Meeuwen1!A4</f>
        <v>Aerts Adri</v>
      </c>
      <c r="I3" s="51">
        <f>Meeuwen1!T4</f>
        <v>32</v>
      </c>
    </row>
    <row r="4" spans="2:9" ht="12.9" customHeight="1">
      <c r="B4" s="108" t="str">
        <f>Horendonk!A5</f>
        <v xml:space="preserve">Arnouts Louis    </v>
      </c>
      <c r="C4" s="52">
        <f>Horendonk!T5</f>
        <v>35</v>
      </c>
      <c r="E4" s="49" t="str">
        <f>Kerkuilen!A5</f>
        <v>De Kaey Piet</v>
      </c>
      <c r="F4" s="52">
        <f>Kerkuilen!T5</f>
        <v>52</v>
      </c>
      <c r="H4" s="49" t="str">
        <f>Meeuwen1!A5</f>
        <v>Bocken Jean Pierre</v>
      </c>
      <c r="I4" s="52">
        <f>Meeuwen1!T5</f>
        <v>18</v>
      </c>
    </row>
    <row r="5" spans="2:9" ht="12.9" customHeight="1">
      <c r="B5" s="108" t="str">
        <f>Horendonk!A6</f>
        <v xml:space="preserve">Brosens Jan      </v>
      </c>
      <c r="C5" s="52">
        <f>Horendonk!T6</f>
        <v>23</v>
      </c>
      <c r="E5" s="49" t="str">
        <f>Kerkuilen!A6</f>
        <v>Elst Stan</v>
      </c>
      <c r="F5" s="52">
        <f>Kerkuilen!T6</f>
        <v>42</v>
      </c>
      <c r="H5" s="49" t="str">
        <f>Meeuwen1!A6</f>
        <v xml:space="preserve">Bocken Lambert  </v>
      </c>
      <c r="I5" s="52">
        <f>Meeuwen1!T6</f>
        <v>28</v>
      </c>
    </row>
    <row r="6" spans="2:9" ht="12.9" customHeight="1">
      <c r="B6" s="108" t="str">
        <f>Horendonk!A7</f>
        <v>De Backer Jef</v>
      </c>
      <c r="C6" s="52">
        <f>Horendonk!T7</f>
        <v>26</v>
      </c>
      <c r="E6" s="49" t="str">
        <f>Kerkuilen!A7</f>
        <v>Hectors Hugo</v>
      </c>
      <c r="F6" s="52">
        <f>Kerkuilen!T7</f>
        <v>18</v>
      </c>
      <c r="H6" s="49" t="str">
        <f>Meeuwen1!A7</f>
        <v>Goetschalkx Herman</v>
      </c>
      <c r="I6" s="52">
        <f>Meeuwen1!T7</f>
        <v>15</v>
      </c>
    </row>
    <row r="7" spans="2:9" ht="12.9" customHeight="1">
      <c r="B7" s="108" t="str">
        <f>Horendonk!A8</f>
        <v>Herreyers Remy</v>
      </c>
      <c r="C7" s="52">
        <f>Horendonk!T8</f>
        <v>48</v>
      </c>
      <c r="E7" s="49" t="str">
        <f>Kerkuilen!A8</f>
        <v xml:space="preserve">Jacobis Martin </v>
      </c>
      <c r="F7" s="52">
        <f>Kerkuilen!T8</f>
        <v>25</v>
      </c>
      <c r="H7" s="49" t="str">
        <f>Meeuwen1!A8</f>
        <v>Grauwmans Rik</v>
      </c>
      <c r="I7" s="52">
        <f>Meeuwen1!T8</f>
        <v>33</v>
      </c>
    </row>
    <row r="8" spans="2:9" ht="12.9" customHeight="1">
      <c r="B8" s="132" t="str">
        <f>Horendonk!A9</f>
        <v>Maas Guy</v>
      </c>
      <c r="C8" s="52">
        <f>Horendonk!T9</f>
        <v>25</v>
      </c>
      <c r="E8" s="49" t="str">
        <f>Kerkuilen!A9</f>
        <v>Lambrechts Jef</v>
      </c>
      <c r="F8" s="52">
        <f>Kerkuilen!T9</f>
        <v>53</v>
      </c>
      <c r="H8" s="49" t="str">
        <f>Meeuwen1!A9</f>
        <v>Meeusen Marc</v>
      </c>
      <c r="I8" s="52">
        <f>Meeuwen1!T9</f>
        <v>125</v>
      </c>
    </row>
    <row r="9" spans="2:9" ht="12.9" customHeight="1">
      <c r="B9" s="108" t="str">
        <f>Horendonk!A10</f>
        <v xml:space="preserve">Nelen Johan  </v>
      </c>
      <c r="C9" s="52">
        <f>Horendonk!T10</f>
        <v>15</v>
      </c>
      <c r="E9" s="49" t="str">
        <f>Kerkuilen!A10</f>
        <v>Naulaerts Rik</v>
      </c>
      <c r="F9" s="52">
        <f>Kerkuilen!T10</f>
        <v>51</v>
      </c>
      <c r="H9" s="49" t="str">
        <f>Meeuwen1!A10</f>
        <v>Van Loon Marc</v>
      </c>
      <c r="I9" s="52">
        <f>Meeuwen1!T10</f>
        <v>15</v>
      </c>
    </row>
    <row r="10" spans="2:9" ht="12.9" customHeight="1">
      <c r="B10" s="108" t="str">
        <f>Horendonk!A11</f>
        <v>Oerlemans Willy</v>
      </c>
      <c r="C10" s="52">
        <f>Horendonk!T11</f>
        <v>28</v>
      </c>
      <c r="E10" s="49" t="str">
        <f>Kerkuilen!A11</f>
        <v>Peeters Wies</v>
      </c>
      <c r="F10" s="52">
        <f>Kerkuilen!T11</f>
        <v>28</v>
      </c>
      <c r="H10" s="49" t="str">
        <f>Meeuwen1!A11</f>
        <v>Van Zoest Teun</v>
      </c>
      <c r="I10" s="52">
        <f>Meeuwen1!T11</f>
        <v>36</v>
      </c>
    </row>
    <row r="11" spans="2:9" ht="12.9" customHeight="1">
      <c r="B11" s="108" t="str">
        <f>Horendonk!A12</f>
        <v>Siemons Jos</v>
      </c>
      <c r="C11" s="52">
        <f>Horendonk!T12</f>
        <v>25</v>
      </c>
      <c r="E11" s="49" t="str">
        <f>Kerkuilen!A12</f>
        <v>Pleysier Luc</v>
      </c>
      <c r="F11" s="52">
        <f>Kerkuilen!T12</f>
        <v>90</v>
      </c>
      <c r="H11" s="49" t="str">
        <f>Meeuwen1!A12</f>
        <v>Veraart Jos</v>
      </c>
      <c r="I11" s="52">
        <f>Meeuwen1!T12</f>
        <v>16</v>
      </c>
    </row>
    <row r="12" spans="2:9" ht="12.9" customHeight="1">
      <c r="B12" s="108" t="str">
        <f>Horendonk!A13</f>
        <v>Van Aert André</v>
      </c>
      <c r="C12" s="52">
        <f>Horendonk!T13</f>
        <v>29</v>
      </c>
      <c r="E12" s="49" t="str">
        <f>Kerkuilen!A13</f>
        <v xml:space="preserve">Quick Gerard </v>
      </c>
      <c r="F12" s="52">
        <f>Kerkuilen!T13</f>
        <v>26</v>
      </c>
      <c r="H12" s="65" t="str">
        <f>Meeuwen1!A13</f>
        <v>Vossen Filip</v>
      </c>
      <c r="I12" s="52">
        <f>Meeuwen1!T13</f>
        <v>16</v>
      </c>
    </row>
    <row r="13" spans="2:9" ht="12.9" customHeight="1">
      <c r="B13" s="205" t="str">
        <f>Horendonk!A14</f>
        <v>Veraart Jef     (ns)</v>
      </c>
      <c r="C13" s="167">
        <f>Horendonk!T14</f>
        <v>27</v>
      </c>
      <c r="E13" s="65" t="str">
        <f>Kerkuilen!A14</f>
        <v>Schrooyen Jef</v>
      </c>
      <c r="F13" s="52">
        <f>Kerkuilen!T14</f>
        <v>51</v>
      </c>
      <c r="H13" s="223" t="str">
        <f>Meeuwen1!A14</f>
        <v>Vossen Ronny  [NS 20]</v>
      </c>
      <c r="I13" s="237">
        <f>Meeuwen1!T14</f>
        <v>15</v>
      </c>
    </row>
    <row r="14" spans="2:9" ht="12.9" customHeight="1">
      <c r="B14" s="108" t="str">
        <f>Horendonk!A15</f>
        <v xml:space="preserve">Vergouwen René </v>
      </c>
      <c r="C14" s="52">
        <f>Horendonk!T15</f>
        <v>30</v>
      </c>
      <c r="E14" s="49" t="str">
        <f>Kerkuilen!A15</f>
        <v>Uytdewilligen Hubert</v>
      </c>
      <c r="F14" s="52">
        <f>Kerkuilen!T15</f>
        <v>33</v>
      </c>
      <c r="H14" s="49">
        <f>Meeuwen1!A15</f>
        <v>0</v>
      </c>
      <c r="I14" s="52">
        <f>Meeuwen1!T15</f>
        <v>0</v>
      </c>
    </row>
    <row r="15" spans="2:9" ht="12.9" customHeight="1">
      <c r="B15" s="108">
        <f>Horendonk!A16</f>
        <v>0</v>
      </c>
      <c r="C15" s="52">
        <f>Horendonk!T16</f>
        <v>0</v>
      </c>
      <c r="E15" s="223" t="str">
        <f>Kerkuilen!A16</f>
        <v>Van Ginneken Cyriel [NS 20]</v>
      </c>
      <c r="F15" s="237">
        <f>Kerkuilen!T16</f>
        <v>16</v>
      </c>
      <c r="H15" s="49">
        <f>Meeuwen1!A16</f>
        <v>0</v>
      </c>
      <c r="I15" s="52">
        <f>Meeuwen1!T16</f>
        <v>0</v>
      </c>
    </row>
    <row r="16" spans="2:9" ht="12.9" customHeight="1">
      <c r="B16" s="108">
        <f>Horendonk!A17</f>
        <v>0</v>
      </c>
      <c r="C16" s="52">
        <f>Horendonk!T17</f>
        <v>0</v>
      </c>
      <c r="E16" s="223" t="str">
        <f>Kerkuilen!A17</f>
        <v>Van Oers Danny  [NS 50]</v>
      </c>
      <c r="F16" s="237">
        <f>Kerkuilen!T17</f>
        <v>51</v>
      </c>
      <c r="H16" s="49">
        <f>Meeuwen1!A17</f>
        <v>0</v>
      </c>
      <c r="I16" s="52">
        <f>Meeuwen1!T17</f>
        <v>0</v>
      </c>
    </row>
    <row r="17" spans="2:9" ht="12.9" customHeight="1" thickBot="1">
      <c r="B17" s="108">
        <f>Horendonk!A18</f>
        <v>0</v>
      </c>
      <c r="C17" s="52">
        <f>Horendonk!T18</f>
        <v>0</v>
      </c>
      <c r="E17" s="49" t="str">
        <f>Kerkuilen!A18</f>
        <v>Van Oers John</v>
      </c>
      <c r="F17" s="52">
        <f>Kerkuilen!T18</f>
        <v>31</v>
      </c>
      <c r="H17" s="49">
        <f>Meeuwen1!A18</f>
        <v>0</v>
      </c>
      <c r="I17" s="52">
        <f>Meeuwen1!T18</f>
        <v>0</v>
      </c>
    </row>
    <row r="18" spans="2:9" ht="12.9" customHeight="1" thickTop="1" thickBot="1">
      <c r="B18" s="50"/>
      <c r="C18" s="99">
        <f>SUM(C3:C17)</f>
        <v>330</v>
      </c>
      <c r="E18" s="50"/>
      <c r="F18" s="99">
        <f>SUM(F3:F16)</f>
        <v>567</v>
      </c>
      <c r="H18" s="50"/>
      <c r="I18" s="99">
        <f>SUM(I3:I16)</f>
        <v>349</v>
      </c>
    </row>
    <row r="19" spans="2:9" s="47" customFormat="1" ht="12.9" customHeight="1"/>
    <row r="20" spans="2:9" ht="12.9" customHeight="1" thickBot="1">
      <c r="B20" s="7" t="s">
        <v>25</v>
      </c>
      <c r="C20" s="54"/>
      <c r="E20" s="7" t="s">
        <v>29</v>
      </c>
      <c r="F20" s="29"/>
      <c r="H20" s="7" t="s">
        <v>26</v>
      </c>
      <c r="I20" s="54"/>
    </row>
    <row r="21" spans="2:9" ht="12.9" customHeight="1">
      <c r="B21" s="48" t="str">
        <f>Meeuwen2!A4</f>
        <v>Brouwers Gerard</v>
      </c>
      <c r="C21" s="51">
        <f>Meeuwen2!T4</f>
        <v>15</v>
      </c>
      <c r="E21" s="48" t="str">
        <f>Meeuwkes!A4</f>
        <v>Bove René</v>
      </c>
      <c r="F21" s="51">
        <f>Meeuwkes!T4</f>
        <v>20</v>
      </c>
      <c r="G21" s="47"/>
      <c r="H21" s="48" t="str">
        <f>Molenheike!A4</f>
        <v xml:space="preserve">Brauns Martin    </v>
      </c>
      <c r="I21" s="51">
        <f>Molenheike!T4</f>
        <v>38</v>
      </c>
    </row>
    <row r="22" spans="2:9" ht="12.9" customHeight="1">
      <c r="B22" s="49" t="str">
        <f>Meeuwen2!A5</f>
        <v>De Backer Jerome</v>
      </c>
      <c r="C22" s="52">
        <f>Meeuwen2!T5</f>
        <v>38</v>
      </c>
      <c r="E22" s="49" t="str">
        <f>Meeuwkes!A5</f>
        <v>Buggenhout Danny</v>
      </c>
      <c r="F22" s="52">
        <f>Meeuwkes!T5</f>
        <v>41</v>
      </c>
      <c r="H22" s="76" t="str">
        <f>Molenheike!A5</f>
        <v>Brosens Luc</v>
      </c>
      <c r="I22" s="52">
        <f>Molenheike!T5</f>
        <v>58</v>
      </c>
    </row>
    <row r="23" spans="2:9" ht="12.9" customHeight="1">
      <c r="B23" s="65" t="str">
        <f>Meeuwen2!A6</f>
        <v xml:space="preserve">Gabriëls Johnny  </v>
      </c>
      <c r="C23" s="52">
        <f>Meeuwen2!T6</f>
        <v>32</v>
      </c>
      <c r="E23" s="49" t="str">
        <f>Meeuwkes!A6</f>
        <v>Deckx Achiel</v>
      </c>
      <c r="F23" s="52">
        <f>Meeuwkes!T6</f>
        <v>38</v>
      </c>
      <c r="H23" s="125" t="str">
        <f>Molenheike!A6</f>
        <v>Dhooghe Jan</v>
      </c>
      <c r="I23" s="52">
        <f>Molenheike!T6</f>
        <v>27</v>
      </c>
    </row>
    <row r="24" spans="2:9" ht="12.9" customHeight="1">
      <c r="B24" s="49" t="str">
        <f>Meeuwen2!A7</f>
        <v xml:space="preserve">Jacobs Hugo            </v>
      </c>
      <c r="C24" s="52">
        <f>Meeuwen2!T7</f>
        <v>34</v>
      </c>
      <c r="E24" s="49" t="str">
        <f>Meeuwkes!A7</f>
        <v>Herreygers Leon</v>
      </c>
      <c r="F24" s="52">
        <f>Meeuwkes!T7</f>
        <v>25</v>
      </c>
      <c r="H24" s="76" t="str">
        <f>Molenheike!A7</f>
        <v>Keuppens Marc</v>
      </c>
      <c r="I24" s="52">
        <f>Molenheike!T7</f>
        <v>30</v>
      </c>
    </row>
    <row r="25" spans="2:9" ht="12.9" customHeight="1">
      <c r="B25" s="49" t="str">
        <f>Meeuwen2!A8</f>
        <v>Jacobs Willy</v>
      </c>
      <c r="C25" s="52">
        <f>Meeuwen2!T8</f>
        <v>80</v>
      </c>
      <c r="E25" s="49" t="str">
        <f>Meeuwkes!A8</f>
        <v>Loos Piet</v>
      </c>
      <c r="F25" s="52">
        <f>Meeuwkes!T8</f>
        <v>15</v>
      </c>
      <c r="H25" s="76" t="str">
        <f>Molenheike!A8</f>
        <v>Lambrechts Ferdy</v>
      </c>
      <c r="I25" s="52">
        <f>Molenheike!T8</f>
        <v>53</v>
      </c>
    </row>
    <row r="26" spans="2:9" ht="12.9" customHeight="1">
      <c r="B26" s="49" t="str">
        <f>Meeuwen2!A9</f>
        <v xml:space="preserve">Lambrechts Marc </v>
      </c>
      <c r="C26" s="52">
        <f>Meeuwen2!T9</f>
        <v>27</v>
      </c>
      <c r="E26" s="65" t="str">
        <f>Meeuwkes!A9</f>
        <v xml:space="preserve">Quick Louis </v>
      </c>
      <c r="F26" s="52">
        <f>Meeuwkes!T9</f>
        <v>39</v>
      </c>
      <c r="H26" s="76" t="str">
        <f>Molenheike!A9</f>
        <v>Nelen Marc</v>
      </c>
      <c r="I26" s="52">
        <f>Molenheike!T9</f>
        <v>24</v>
      </c>
    </row>
    <row r="27" spans="2:9" ht="12.9" customHeight="1">
      <c r="B27" s="49" t="str">
        <f>Meeuwen2!A10</f>
        <v>Lucassen Rini</v>
      </c>
      <c r="C27" s="52">
        <f>Meeuwen2!T10</f>
        <v>29</v>
      </c>
      <c r="E27" s="49" t="str">
        <f>Meeuwkes!A10</f>
        <v>Reyssens Martin</v>
      </c>
      <c r="F27" s="52">
        <f>Meeuwkes!T10</f>
        <v>23</v>
      </c>
      <c r="H27" s="76" t="str">
        <f>Molenheike!A10</f>
        <v>Neys Jan</v>
      </c>
      <c r="I27" s="52">
        <f>Molenheike!T10</f>
        <v>24</v>
      </c>
    </row>
    <row r="28" spans="2:9" ht="12.9" customHeight="1">
      <c r="B28" s="49" t="str">
        <f>Meeuwen2!A11</f>
        <v xml:space="preserve">Present Fons </v>
      </c>
      <c r="C28" s="52">
        <f>Meeuwen2!T11</f>
        <v>22</v>
      </c>
      <c r="E28" s="49" t="str">
        <f>Meeuwkes!A11</f>
        <v xml:space="preserve">Schenk André </v>
      </c>
      <c r="F28" s="52">
        <f>Meeuwkes!T11</f>
        <v>64</v>
      </c>
      <c r="H28" s="76" t="str">
        <f>Molenheike!A11</f>
        <v>Van Ginderen Jef</v>
      </c>
      <c r="I28" s="52">
        <f>Molenheike!T11</f>
        <v>54</v>
      </c>
    </row>
    <row r="29" spans="2:9" ht="12.9" customHeight="1">
      <c r="B29" s="223" t="str">
        <f>Meeuwen2!A12</f>
        <v>Present Marc [NS 20]</v>
      </c>
      <c r="C29" s="237">
        <f>Meeuwen2!T12</f>
        <v>23</v>
      </c>
      <c r="E29" s="49" t="str">
        <f>Meeuwkes!A12</f>
        <v>Van Doren Hugo</v>
      </c>
      <c r="F29" s="52">
        <f>Meeuwkes!T12</f>
        <v>53</v>
      </c>
      <c r="H29" s="76" t="str">
        <f>Molenheike!A12</f>
        <v>Van Ginderen Willy</v>
      </c>
      <c r="I29" s="52">
        <f>Molenheike!T12</f>
        <v>37</v>
      </c>
    </row>
    <row r="30" spans="2:9" ht="12.9" customHeight="1">
      <c r="B30" s="49" t="str">
        <f>Meeuwen2!A13</f>
        <v>Suykerbuyk Stan</v>
      </c>
      <c r="C30" s="52">
        <f>Meeuwen2!T13</f>
        <v>33</v>
      </c>
      <c r="E30" s="49" t="str">
        <f>Meeuwkes!A13</f>
        <v xml:space="preserve">De Roomer Jan    </v>
      </c>
      <c r="F30" s="52">
        <f>Meeuwkes!T13</f>
        <v>27</v>
      </c>
      <c r="H30" s="76">
        <f>Molenheike!A13</f>
        <v>0</v>
      </c>
      <c r="I30" s="52">
        <f>Molenheike!T13</f>
        <v>0</v>
      </c>
    </row>
    <row r="31" spans="2:9" ht="12.9" customHeight="1">
      <c r="B31" s="49" t="str">
        <f>Meeuwen2!A14</f>
        <v xml:space="preserve">Vandersanden Lucien </v>
      </c>
      <c r="C31" s="52">
        <f>Meeuwen2!T14</f>
        <v>39</v>
      </c>
      <c r="E31" s="49" t="str">
        <f>Meeuwkes!A14</f>
        <v>Van Hees Eduard</v>
      </c>
      <c r="F31" s="52">
        <f>Meeuwkes!T14</f>
        <v>30</v>
      </c>
      <c r="H31" s="76">
        <f>Molenheike!A14</f>
        <v>0</v>
      </c>
      <c r="I31" s="52">
        <f>Molenheike!T14</f>
        <v>0</v>
      </c>
    </row>
    <row r="32" spans="2:9" ht="12.9" customHeight="1">
      <c r="B32" s="49" t="str">
        <f>Meeuwen2!A15</f>
        <v>Van Dorst Alfons</v>
      </c>
      <c r="C32" s="52">
        <f>Meeuwen2!T15</f>
        <v>59</v>
      </c>
      <c r="E32" s="49" t="str">
        <f>Meeuwkes!A15</f>
        <v xml:space="preserve">Schenk Stanny  </v>
      </c>
      <c r="F32" s="52">
        <f>Meeuwkes!T15</f>
        <v>16</v>
      </c>
      <c r="H32" s="76">
        <f>Molenheike!A15</f>
        <v>0</v>
      </c>
      <c r="I32" s="52">
        <f>Molenheike!T15</f>
        <v>0</v>
      </c>
    </row>
    <row r="33" spans="2:9" ht="12.9" customHeight="1">
      <c r="B33" s="49" t="str">
        <f>Meeuwen2!A16</f>
        <v xml:space="preserve">Van Thillo Sis   </v>
      </c>
      <c r="C33" s="52">
        <f>Meeuwen2!T16</f>
        <v>32</v>
      </c>
      <c r="E33" s="49">
        <f>Meeuwkes!A16</f>
        <v>0</v>
      </c>
      <c r="F33" s="52">
        <f>Meeuwkes!T16</f>
        <v>0</v>
      </c>
      <c r="H33" s="76">
        <f>Molenheike!A16</f>
        <v>0</v>
      </c>
      <c r="I33" s="52">
        <f>Molenheike!T16</f>
        <v>0</v>
      </c>
    </row>
    <row r="34" spans="2:9" ht="12.9" customHeight="1">
      <c r="B34" s="49">
        <f>Meeuwen2!A17</f>
        <v>0</v>
      </c>
      <c r="C34" s="52">
        <f>Meeuwen2!T17</f>
        <v>0</v>
      </c>
      <c r="E34" s="49">
        <f>Meeuwkes!A17</f>
        <v>0</v>
      </c>
      <c r="F34" s="52">
        <f>Meeuwkes!T17</f>
        <v>0</v>
      </c>
      <c r="H34" s="76">
        <f>Molenheike!A17</f>
        <v>0</v>
      </c>
      <c r="I34" s="52">
        <f>Molenheike!T17</f>
        <v>0</v>
      </c>
    </row>
    <row r="35" spans="2:9" ht="12.9" customHeight="1" thickBot="1">
      <c r="B35" s="49">
        <f>Meeuwen2!A18</f>
        <v>0</v>
      </c>
      <c r="C35" s="52">
        <f>Meeuwen2!T18</f>
        <v>0</v>
      </c>
      <c r="D35" s="7"/>
      <c r="E35" s="49">
        <f>Meeuwkes!A18</f>
        <v>0</v>
      </c>
      <c r="F35" s="53">
        <f>Meeuwkes!T18</f>
        <v>0</v>
      </c>
      <c r="H35" s="76">
        <f>Molenheike!A18</f>
        <v>0</v>
      </c>
      <c r="I35" s="52">
        <f>Molenheike!T21</f>
        <v>0</v>
      </c>
    </row>
    <row r="36" spans="2:9" s="7" customFormat="1" ht="12.9" customHeight="1" thickTop="1" thickBot="1">
      <c r="B36" s="50"/>
      <c r="C36" s="99">
        <f>SUM(C21:C34)</f>
        <v>463</v>
      </c>
      <c r="D36"/>
      <c r="E36" s="50"/>
      <c r="F36" s="99">
        <f>SUM(F21:F35)</f>
        <v>391</v>
      </c>
      <c r="G36"/>
      <c r="H36" s="50"/>
      <c r="I36" s="99">
        <f>SUM(I22:I35)</f>
        <v>307</v>
      </c>
    </row>
    <row r="37" spans="2:9" ht="12.9" customHeight="1">
      <c r="E37" s="107"/>
      <c r="F37" s="29"/>
      <c r="G37" s="7"/>
      <c r="H37" s="7"/>
      <c r="I37" s="54"/>
    </row>
    <row r="38" spans="2:9" ht="12.9" customHeight="1" thickBot="1">
      <c r="B38" s="7" t="s">
        <v>195</v>
      </c>
      <c r="E38" s="107" t="s">
        <v>28</v>
      </c>
      <c r="F38" s="29"/>
      <c r="G38" s="7"/>
      <c r="H38" s="7" t="s">
        <v>30</v>
      </c>
      <c r="I38" s="54"/>
    </row>
    <row r="39" spans="2:9" ht="12.9" customHeight="1">
      <c r="B39" s="133" t="str">
        <f>Nispen!A4</f>
        <v>Bastiaensen Jan</v>
      </c>
      <c r="C39" s="51">
        <f>Nispen!T4</f>
        <v>31</v>
      </c>
      <c r="E39" s="97" t="str">
        <f>Oudeglorie!A4</f>
        <v xml:space="preserve">Aerden Carl  </v>
      </c>
      <c r="F39" s="51">
        <f>Oudeglorie!T4</f>
        <v>24</v>
      </c>
      <c r="H39" s="48" t="str">
        <f>Rooiebal1!A4</f>
        <v>Aerts Jan</v>
      </c>
      <c r="I39" s="51">
        <f>Rooiebal1!T4</f>
        <v>19</v>
      </c>
    </row>
    <row r="40" spans="2:9" ht="12.9" customHeight="1">
      <c r="B40" s="108" t="str">
        <f>Nispen!A5</f>
        <v>Botermans Jan</v>
      </c>
      <c r="C40" s="52">
        <f>Nispen!T5</f>
        <v>24</v>
      </c>
      <c r="E40" s="76" t="str">
        <f>Oudeglorie!A5</f>
        <v xml:space="preserve">Beyers Jos    </v>
      </c>
      <c r="F40" s="52">
        <f>Oudeglorie!T5</f>
        <v>27</v>
      </c>
      <c r="H40" s="49" t="str">
        <f>Rooiebal1!A5</f>
        <v xml:space="preserve">Dictus Peter       </v>
      </c>
      <c r="I40" s="52">
        <f>Rooiebal1!T5</f>
        <v>18</v>
      </c>
    </row>
    <row r="41" spans="2:9" ht="12.9" customHeight="1">
      <c r="B41" s="108" t="str">
        <f>Nispen!A6</f>
        <v>Brouwers Vic</v>
      </c>
      <c r="C41" s="52">
        <f>Nispen!T6</f>
        <v>68</v>
      </c>
      <c r="E41" s="65" t="str">
        <f>Oudeglorie!A6</f>
        <v>Beyers Roger</v>
      </c>
      <c r="F41" s="52">
        <f>Oudeglorie!T6</f>
        <v>69</v>
      </c>
      <c r="H41" s="49" t="str">
        <f>Rooiebal1!A6</f>
        <v xml:space="preserve">Hereygers Cis     </v>
      </c>
      <c r="I41" s="52">
        <f>Rooiebal1!T6</f>
        <v>68</v>
      </c>
    </row>
    <row r="42" spans="2:9" ht="12.9" customHeight="1">
      <c r="B42" s="132" t="str">
        <f>Nispen!A7</f>
        <v>Cappaert Ivan</v>
      </c>
      <c r="C42" s="52">
        <f>Nispen!T7</f>
        <v>35</v>
      </c>
      <c r="E42" s="49" t="str">
        <f>Oudeglorie!A7</f>
        <v>Braat Guido</v>
      </c>
      <c r="F42" s="52">
        <f>Oudeglorie!T7</f>
        <v>29</v>
      </c>
      <c r="H42" s="49" t="str">
        <f>Rooiebal1!A7</f>
        <v xml:space="preserve">Karremans Dries  </v>
      </c>
      <c r="I42" s="52">
        <f>Rooiebal1!T7</f>
        <v>24</v>
      </c>
    </row>
    <row r="43" spans="2:9" ht="12.9" customHeight="1">
      <c r="B43" s="108" t="str">
        <f>Nispen!A8</f>
        <v xml:space="preserve">Kerstens Jac     </v>
      </c>
      <c r="C43" s="52">
        <f>Nispen!T8</f>
        <v>35</v>
      </c>
      <c r="E43" s="49" t="str">
        <f>Oudeglorie!A8</f>
        <v>Cleeren Guido</v>
      </c>
      <c r="F43" s="52">
        <f>Oudeglorie!T8</f>
        <v>17</v>
      </c>
      <c r="H43" s="49" t="str">
        <f>Rooiebal1!A8</f>
        <v xml:space="preserve">Nelen Ronny       </v>
      </c>
      <c r="I43" s="52">
        <f>Rooiebal1!T8</f>
        <v>33</v>
      </c>
    </row>
    <row r="44" spans="2:9" ht="12.9" customHeight="1">
      <c r="B44" s="206" t="str">
        <f>Nispen!A9</f>
        <v>Klijn Toon [NS 20]</v>
      </c>
      <c r="C44" s="237">
        <f>Nispen!T9</f>
        <v>20</v>
      </c>
      <c r="E44" s="49" t="str">
        <f>Oudeglorie!A9</f>
        <v>Gommers Jac</v>
      </c>
      <c r="F44" s="52">
        <f>Oudeglorie!T9</f>
        <v>18</v>
      </c>
      <c r="H44" s="49" t="str">
        <f>Rooiebal1!A9</f>
        <v>Raeymakers Lilianne</v>
      </c>
      <c r="I44" s="52">
        <f>Rooiebal1!T9</f>
        <v>21</v>
      </c>
    </row>
    <row r="45" spans="2:9" ht="12.9" customHeight="1">
      <c r="B45" s="206" t="str">
        <f>Nispen!A10</f>
        <v>Martens Gerrit [OS]</v>
      </c>
      <c r="C45" s="168">
        <f>Nispen!T10</f>
        <v>15</v>
      </c>
      <c r="E45" s="49" t="str">
        <f>Oudeglorie!A10</f>
        <v>Jacobs Alfons</v>
      </c>
      <c r="F45" s="52">
        <f>Oudeglorie!T10</f>
        <v>28</v>
      </c>
      <c r="H45" s="65" t="str">
        <f>Rooiebal1!A10</f>
        <v xml:space="preserve">Raeymakers Pierre </v>
      </c>
      <c r="I45" s="52">
        <f>Rooiebal1!T10</f>
        <v>23</v>
      </c>
    </row>
    <row r="46" spans="2:9" ht="12.9" customHeight="1">
      <c r="B46" s="108" t="str">
        <f>Nispen!A11</f>
        <v>Mens Jos</v>
      </c>
      <c r="C46" s="52">
        <f>Nispen!T11</f>
        <v>21</v>
      </c>
      <c r="E46" s="76" t="str">
        <f>Oudeglorie!A11</f>
        <v>Jacobs Frans</v>
      </c>
      <c r="F46" s="52">
        <f>Oudeglorie!T11</f>
        <v>62</v>
      </c>
      <c r="H46" s="49" t="str">
        <f>Rooiebal1!A11</f>
        <v>Van Hooydonck René</v>
      </c>
      <c r="I46" s="52">
        <f>Rooiebal1!T11</f>
        <v>27</v>
      </c>
    </row>
    <row r="47" spans="2:9" ht="12.9" customHeight="1">
      <c r="B47" s="108" t="str">
        <f>Nispen!A12</f>
        <v xml:space="preserve">Raats Antoon </v>
      </c>
      <c r="C47" s="52">
        <f>Nispen!T12</f>
        <v>19</v>
      </c>
      <c r="E47" s="49" t="str">
        <f>Oudeglorie!A12</f>
        <v>Nelen Frans</v>
      </c>
      <c r="F47" s="52">
        <f>Oudeglorie!T12</f>
        <v>25</v>
      </c>
      <c r="H47" s="49" t="str">
        <f>Rooiebal1!A12</f>
        <v>Van Oers Theo</v>
      </c>
      <c r="I47" s="52">
        <f>Rooiebal1!T12</f>
        <v>34</v>
      </c>
    </row>
    <row r="48" spans="2:9" ht="12.9" customHeight="1">
      <c r="B48" s="108" t="str">
        <f>Nispen!A13</f>
        <v>Uijdehaag Nico</v>
      </c>
      <c r="C48" s="52">
        <f>Nispen!T13</f>
        <v>23</v>
      </c>
      <c r="E48" s="223" t="str">
        <f>Oudeglorie!A13</f>
        <v>Nelen Jef  [NS 25]</v>
      </c>
      <c r="F48" s="237">
        <f>Oudeglorie!T13</f>
        <v>25</v>
      </c>
      <c r="H48" s="49" t="str">
        <f>Rooiebal1!A13</f>
        <v>Vergouwen Willy</v>
      </c>
      <c r="I48" s="52">
        <f>Rooiebal1!T13</f>
        <v>35</v>
      </c>
    </row>
    <row r="49" spans="2:9" ht="12.9" customHeight="1">
      <c r="B49" s="108">
        <f>Nispen!A14</f>
        <v>0</v>
      </c>
      <c r="C49" s="52">
        <f>Nispen!T14</f>
        <v>0</v>
      </c>
      <c r="E49" s="49" t="str">
        <f>Oudeglorie!A14</f>
        <v xml:space="preserve">Somers Ludo </v>
      </c>
      <c r="F49" s="55">
        <f>Oudeglorie!T14</f>
        <v>34</v>
      </c>
      <c r="H49" s="49">
        <f>Rooiebal1!A14</f>
        <v>0</v>
      </c>
      <c r="I49" s="52">
        <f>Rooiebal1!T14</f>
        <v>0</v>
      </c>
    </row>
    <row r="50" spans="2:9" ht="12.9" customHeight="1">
      <c r="B50" s="108">
        <f>Nispen!A15</f>
        <v>0</v>
      </c>
      <c r="C50" s="52">
        <f>Nispen!T15</f>
        <v>0</v>
      </c>
      <c r="E50" s="49" t="str">
        <f>Oudeglorie!A15</f>
        <v xml:space="preserve">Van Ginderen Ludo </v>
      </c>
      <c r="F50" s="55">
        <f>Oudeglorie!T15</f>
        <v>17</v>
      </c>
      <c r="H50" s="49">
        <f>Rooiebal1!A15</f>
        <v>0</v>
      </c>
      <c r="I50" s="52">
        <f>Rooiebal1!T15</f>
        <v>0</v>
      </c>
    </row>
    <row r="51" spans="2:9" ht="12.9" customHeight="1">
      <c r="B51" s="108">
        <f>Nispen!A16</f>
        <v>0</v>
      </c>
      <c r="C51" s="52">
        <f>Nispen!T16</f>
        <v>0</v>
      </c>
      <c r="E51" s="49" t="str">
        <f>Oudeglorie!A16</f>
        <v>Van Overvelt Ludo</v>
      </c>
      <c r="F51" s="55">
        <f>Oudeglorie!T16</f>
        <v>43</v>
      </c>
      <c r="H51" s="49">
        <f>Rooiebal1!A16</f>
        <v>0</v>
      </c>
      <c r="I51" s="52">
        <f>Rooiebal1!T16</f>
        <v>0</v>
      </c>
    </row>
    <row r="52" spans="2:9" s="47" customFormat="1" ht="12.9" customHeight="1">
      <c r="B52" s="108">
        <f>Nispen!A17</f>
        <v>0</v>
      </c>
      <c r="C52" s="52">
        <f>Nispen!T17</f>
        <v>0</v>
      </c>
      <c r="E52" s="49" t="str">
        <f>Oudeglorie!A17</f>
        <v>Willemsen Willy</v>
      </c>
      <c r="F52" s="55">
        <f>Oudeglorie!T17</f>
        <v>37</v>
      </c>
      <c r="G52"/>
      <c r="H52" s="49">
        <f>Rooiebal1!A17</f>
        <v>0</v>
      </c>
      <c r="I52" s="52">
        <f>Rooiebal1!T17</f>
        <v>0</v>
      </c>
    </row>
    <row r="53" spans="2:9" ht="12.9" customHeight="1" thickBot="1">
      <c r="B53" s="108">
        <f>Nispen!A18</f>
        <v>0</v>
      </c>
      <c r="C53" s="52">
        <f>Nispen!T18</f>
        <v>0</v>
      </c>
      <c r="E53" s="49">
        <f>Oudeglorie!A18</f>
        <v>0</v>
      </c>
      <c r="F53" s="55">
        <f>Oudeglorie!T18</f>
        <v>0</v>
      </c>
      <c r="G53" s="47"/>
      <c r="H53" s="49">
        <f>Rooiebal1!A18</f>
        <v>0</v>
      </c>
      <c r="I53" s="52">
        <f>Rooiebal1!T18</f>
        <v>0</v>
      </c>
    </row>
    <row r="54" spans="2:9" ht="12.9" customHeight="1" thickTop="1" thickBot="1">
      <c r="B54" s="50"/>
      <c r="C54" s="134">
        <f>SUM(C39:C52)</f>
        <v>291</v>
      </c>
      <c r="E54" s="50"/>
      <c r="F54" s="99">
        <f>SUM(F40:F51)</f>
        <v>394</v>
      </c>
      <c r="H54" s="50"/>
      <c r="I54" s="99">
        <f>SUM(I39:I52)</f>
        <v>302</v>
      </c>
    </row>
    <row r="55" spans="2:9" ht="12.9" customHeight="1"/>
    <row r="56" spans="2:9" ht="12.9" customHeight="1" thickBot="1">
      <c r="B56" s="7" t="s">
        <v>31</v>
      </c>
      <c r="C56" s="29"/>
      <c r="E56" s="7" t="s">
        <v>196</v>
      </c>
      <c r="F56" s="54"/>
      <c r="H56" s="7" t="s">
        <v>33</v>
      </c>
      <c r="I56" s="54"/>
    </row>
    <row r="57" spans="2:9" ht="12.9" customHeight="1">
      <c r="B57" s="135" t="str">
        <f>Rooiebal2!A4</f>
        <v xml:space="preserve">Costermans Leo   </v>
      </c>
      <c r="C57" s="136">
        <f>Rooiebal2!T4</f>
        <v>15</v>
      </c>
      <c r="D57" s="104"/>
      <c r="E57" s="135" t="str">
        <f>Putte!A4</f>
        <v xml:space="preserve">Anthonissen Paul </v>
      </c>
      <c r="F57" s="136">
        <f>Putte!T4</f>
        <v>38</v>
      </c>
      <c r="G57" s="104"/>
      <c r="H57" s="135" t="str">
        <f>Wildert1!A4</f>
        <v>Adriaansen Jan</v>
      </c>
      <c r="I57" s="137">
        <f>Wildert1!T4</f>
        <v>17</v>
      </c>
    </row>
    <row r="58" spans="2:9" ht="12.9" customHeight="1">
      <c r="B58" s="138" t="str">
        <f>Rooiebal2!A5</f>
        <v>Dictus Fred</v>
      </c>
      <c r="C58" s="139">
        <f>Rooiebal2!T5</f>
        <v>59</v>
      </c>
      <c r="D58" s="104"/>
      <c r="E58" s="140" t="str">
        <f>Putte!A5</f>
        <v>De Beukelaer Freddy</v>
      </c>
      <c r="F58" s="139">
        <f>Putte!T5</f>
        <v>20</v>
      </c>
      <c r="G58" s="104"/>
      <c r="H58" s="138" t="str">
        <f>Wildert1!A5</f>
        <v>Brouwers Adri</v>
      </c>
      <c r="I58" s="141">
        <f>Wildert1!T5</f>
        <v>38</v>
      </c>
    </row>
    <row r="59" spans="2:9" ht="12.9" customHeight="1">
      <c r="B59" s="138" t="str">
        <f>Rooiebal2!A6</f>
        <v xml:space="preserve">Donckers Johnny </v>
      </c>
      <c r="C59" s="139">
        <f>Rooiebal2!T6</f>
        <v>25</v>
      </c>
      <c r="D59" s="104"/>
      <c r="E59" s="140" t="str">
        <f>Putte!A6</f>
        <v>Evers Henri</v>
      </c>
      <c r="F59" s="139">
        <f>Putte!T6</f>
        <v>15</v>
      </c>
      <c r="G59" s="104"/>
      <c r="H59" s="223" t="str">
        <f>Wildert1!A6</f>
        <v>Buijk Jan  [NS 55]</v>
      </c>
      <c r="I59" s="238">
        <f>Wildert1!T6</f>
        <v>58</v>
      </c>
    </row>
    <row r="60" spans="2:9" ht="12.9" customHeight="1">
      <c r="B60" s="138" t="str">
        <f>Rooiebal2!A7</f>
        <v>Goosen Winny</v>
      </c>
      <c r="C60" s="139">
        <f>Rooiebal2!T7</f>
        <v>31</v>
      </c>
      <c r="D60" s="104"/>
      <c r="E60" s="140" t="str">
        <f>Putte!A7</f>
        <v xml:space="preserve">Palinckx Fons </v>
      </c>
      <c r="F60" s="139">
        <f>Putte!T7</f>
        <v>79</v>
      </c>
      <c r="G60" s="104"/>
      <c r="H60" s="140" t="str">
        <f>Wildert1!A7</f>
        <v>Denissens Frans</v>
      </c>
      <c r="I60" s="141">
        <f>Wildert1!T7</f>
        <v>15</v>
      </c>
    </row>
    <row r="61" spans="2:9" ht="12.9" customHeight="1">
      <c r="B61" s="125" t="str">
        <f>Rooiebal2!A8</f>
        <v>Lodewijckx Willy</v>
      </c>
      <c r="C61" s="139">
        <f>Rooiebal2!T8</f>
        <v>40</v>
      </c>
      <c r="D61" s="104"/>
      <c r="E61" s="140" t="str">
        <f>Putte!A8</f>
        <v xml:space="preserve">Poulus Marinus    </v>
      </c>
      <c r="F61" s="139">
        <f>Putte!T8</f>
        <v>51</v>
      </c>
      <c r="G61" s="104"/>
      <c r="H61" s="125" t="str">
        <f>Wildert1!A8</f>
        <v>Dries Louis</v>
      </c>
      <c r="I61" s="141">
        <f>Wildert1!T8</f>
        <v>32</v>
      </c>
    </row>
    <row r="62" spans="2:9" ht="12.9" customHeight="1">
      <c r="B62" s="138" t="str">
        <f>Rooiebal2!A9</f>
        <v xml:space="preserve">Mathyssen Guy  </v>
      </c>
      <c r="C62" s="139">
        <f>Rooiebal2!T9</f>
        <v>34</v>
      </c>
      <c r="D62" s="104"/>
      <c r="E62" s="140" t="str">
        <f>Putte!A9</f>
        <v xml:space="preserve">Plompen Dirk </v>
      </c>
      <c r="F62" s="139">
        <f>Putte!T9</f>
        <v>37</v>
      </c>
      <c r="G62" s="104"/>
      <c r="H62" s="138" t="str">
        <f>Wildert1!A9</f>
        <v>Kerstens Marc</v>
      </c>
      <c r="I62" s="141">
        <f>Wildert1!T9</f>
        <v>19</v>
      </c>
    </row>
    <row r="63" spans="2:9" ht="12.9" customHeight="1">
      <c r="B63" s="138" t="str">
        <f>Rooiebal2!A10</f>
        <v>Ossenblok Ed</v>
      </c>
      <c r="C63" s="139">
        <f>Rooiebal2!T10</f>
        <v>35</v>
      </c>
      <c r="D63" s="104"/>
      <c r="E63" s="140" t="str">
        <f>Putte!A10</f>
        <v xml:space="preserve">Schaeken Pierre </v>
      </c>
      <c r="F63" s="139">
        <f>Putte!T10</f>
        <v>20</v>
      </c>
      <c r="G63" s="104"/>
      <c r="H63" s="138" t="str">
        <f>Wildert1!A10</f>
        <v>Kerstens Ronald</v>
      </c>
      <c r="I63" s="141">
        <f>Wildert1!T10</f>
        <v>21</v>
      </c>
    </row>
    <row r="64" spans="2:9" ht="12.9" customHeight="1">
      <c r="B64" s="138" t="str">
        <f>Rooiebal2!A11</f>
        <v>Suykerbuyk Cis</v>
      </c>
      <c r="C64" s="139">
        <f>Rooiebal2!T11</f>
        <v>15</v>
      </c>
      <c r="D64" s="104"/>
      <c r="E64" s="140" t="str">
        <f>Putte!A11</f>
        <v>Van Den Bleeken Eddy</v>
      </c>
      <c r="F64" s="139">
        <f>Putte!T11</f>
        <v>22</v>
      </c>
      <c r="G64" s="104"/>
      <c r="H64" s="138" t="str">
        <f>Wildert1!A11</f>
        <v xml:space="preserve">Konings Guido </v>
      </c>
      <c r="I64" s="141">
        <f>Wildert1!T11</f>
        <v>24</v>
      </c>
    </row>
    <row r="65" spans="2:9" ht="12.9" customHeight="1">
      <c r="B65" s="138" t="str">
        <f>Rooiebal2!A12</f>
        <v>Swinnen Michel</v>
      </c>
      <c r="C65" s="139">
        <f>Rooiebal2!T12</f>
        <v>38</v>
      </c>
      <c r="D65" s="104"/>
      <c r="E65" s="125" t="str">
        <f>Putte!A12</f>
        <v>Van Riel Eddie</v>
      </c>
      <c r="F65" s="139">
        <f>Putte!T12</f>
        <v>64</v>
      </c>
      <c r="G65" s="104"/>
      <c r="H65" s="138" t="str">
        <f>Wildert1!A12</f>
        <v xml:space="preserve">Kustermans Toon </v>
      </c>
      <c r="I65" s="141">
        <f>Wildert1!T12</f>
        <v>38</v>
      </c>
    </row>
    <row r="66" spans="2:9" ht="12.9" customHeight="1">
      <c r="B66" s="138" t="str">
        <f>Rooiebal2!A13</f>
        <v>Veraart Swa</v>
      </c>
      <c r="C66" s="139">
        <f>Rooiebal2!T13</f>
        <v>24</v>
      </c>
      <c r="D66" s="104"/>
      <c r="E66" s="140" t="str">
        <f>Putte!A13</f>
        <v>Verelst Gilbert</v>
      </c>
      <c r="F66" s="139">
        <f>Putte!T13</f>
        <v>24</v>
      </c>
      <c r="G66" s="104"/>
      <c r="H66" s="138" t="str">
        <f>Wildert1!A13</f>
        <v xml:space="preserve">Sarra-Ribo Jef      </v>
      </c>
      <c r="I66" s="141">
        <f>Wildert1!T13</f>
        <v>88</v>
      </c>
    </row>
    <row r="67" spans="2:9" ht="12.9" customHeight="1">
      <c r="B67" s="223" t="str">
        <f>Rooiebal2!A14</f>
        <v>Konings Kamiel [NS 20]</v>
      </c>
      <c r="C67" s="237">
        <f>Rooiebal2!T14</f>
        <v>15</v>
      </c>
      <c r="D67" s="104"/>
      <c r="E67" s="140" t="str">
        <f>Putte!A14</f>
        <v>Wolfcarius Jaques</v>
      </c>
      <c r="F67" s="139">
        <f>Putte!T14</f>
        <v>22</v>
      </c>
      <c r="G67" s="104"/>
      <c r="H67" s="138" t="str">
        <f>Wildert1!A14</f>
        <v>Sas Ronny</v>
      </c>
      <c r="I67" s="141">
        <f>Wildert1!T14</f>
        <v>30</v>
      </c>
    </row>
    <row r="68" spans="2:9" ht="12.9" customHeight="1">
      <c r="B68" s="138">
        <f>Rooiebal2!A15</f>
        <v>0</v>
      </c>
      <c r="C68" s="139">
        <f>Rooiebal2!T15</f>
        <v>0</v>
      </c>
      <c r="D68" s="104"/>
      <c r="E68" s="140" t="str">
        <f>Putte!A15</f>
        <v xml:space="preserve">Eyckmans Luc   </v>
      </c>
      <c r="F68" s="139">
        <f>Putte!T15</f>
        <v>23</v>
      </c>
      <c r="G68" s="142"/>
      <c r="H68" s="138" t="str">
        <f>Wildert1!A15</f>
        <v>Thijs Jef</v>
      </c>
      <c r="I68" s="141">
        <f>Wildert1!T15</f>
        <v>21</v>
      </c>
    </row>
    <row r="69" spans="2:9" s="7" customFormat="1" ht="12.9" customHeight="1">
      <c r="B69" s="138">
        <f>Rooiebal2!A16</f>
        <v>0</v>
      </c>
      <c r="C69" s="139">
        <f>Rooiebal2!T16</f>
        <v>0</v>
      </c>
      <c r="D69" s="142"/>
      <c r="E69" s="222" t="str">
        <f>Putte!A16</f>
        <v>Moerbeek Wilfried [NS 20]</v>
      </c>
      <c r="F69" s="237">
        <f>Putte!T16</f>
        <v>27</v>
      </c>
      <c r="G69" s="104"/>
      <c r="H69" s="223" t="str">
        <f>Wildert1!A16</f>
        <v xml:space="preserve">Wetzer Rik [NS 20] </v>
      </c>
      <c r="I69" s="238">
        <f>Wildert1!T16</f>
        <v>15</v>
      </c>
    </row>
    <row r="70" spans="2:9" ht="12.9" customHeight="1">
      <c r="B70" s="138">
        <f>Rooiebal2!A17</f>
        <v>0</v>
      </c>
      <c r="C70" s="139">
        <f>Rooiebal2!T17</f>
        <v>0</v>
      </c>
      <c r="D70" s="104"/>
      <c r="E70" s="140">
        <f>Putte!A17</f>
        <v>0</v>
      </c>
      <c r="F70" s="139">
        <f>Putte!T17</f>
        <v>0</v>
      </c>
      <c r="G70" s="104"/>
      <c r="H70" s="236" t="str">
        <f>Wildert1!A17</f>
        <v>Seymus Eddy (ns)</v>
      </c>
      <c r="I70" s="169">
        <f>Wildert1!T17</f>
        <v>35</v>
      </c>
    </row>
    <row r="71" spans="2:9" ht="12.9" customHeight="1" thickBot="1">
      <c r="B71" s="138">
        <f>Rooiebal2!A20</f>
        <v>0</v>
      </c>
      <c r="C71" s="141">
        <f>Rooiebal2!T20</f>
        <v>0</v>
      </c>
      <c r="D71" s="104"/>
      <c r="E71" s="140">
        <f>Putte!A18</f>
        <v>0</v>
      </c>
      <c r="F71" s="139">
        <f>Putte!T18</f>
        <v>0</v>
      </c>
      <c r="G71" s="104"/>
      <c r="H71" s="138">
        <f>Wildert1!A18</f>
        <v>0</v>
      </c>
      <c r="I71" s="141">
        <f>Wildert1!T18</f>
        <v>0</v>
      </c>
    </row>
    <row r="72" spans="2:9" ht="12.9" customHeight="1" thickTop="1" thickBot="1">
      <c r="B72" s="143"/>
      <c r="C72" s="144">
        <f>SUM(C59:C71)</f>
        <v>257</v>
      </c>
      <c r="D72" s="104"/>
      <c r="E72" s="143"/>
      <c r="F72" s="144">
        <f>SUM(F59:F71)</f>
        <v>384</v>
      </c>
      <c r="G72" s="104"/>
      <c r="H72" s="143"/>
      <c r="I72" s="145">
        <f>SUM(I57:I69)</f>
        <v>416</v>
      </c>
    </row>
    <row r="73" spans="2:9" ht="12.9" customHeight="1">
      <c r="B73" s="104"/>
      <c r="C73" s="106"/>
      <c r="D73" s="104"/>
      <c r="E73" s="104"/>
      <c r="F73" s="106"/>
      <c r="G73" s="104"/>
      <c r="H73" s="104"/>
      <c r="I73" s="146"/>
    </row>
    <row r="74" spans="2:9" ht="12.9" customHeight="1" thickBot="1">
      <c r="B74" s="142" t="s">
        <v>34</v>
      </c>
      <c r="C74" s="106"/>
      <c r="D74" s="104"/>
      <c r="E74" s="142" t="s">
        <v>295</v>
      </c>
      <c r="F74" s="147"/>
      <c r="G74" s="104"/>
      <c r="H74" s="104"/>
      <c r="I74" s="106"/>
    </row>
    <row r="75" spans="2:9" ht="12.9" customHeight="1">
      <c r="B75" s="135" t="str">
        <f>Wildert2!A4</f>
        <v xml:space="preserve">Aernouts Johan  </v>
      </c>
      <c r="C75" s="136">
        <f>Wildert2!T4</f>
        <v>43</v>
      </c>
      <c r="D75" s="104"/>
      <c r="E75" s="135" t="str">
        <f>DeBeek!A4</f>
        <v xml:space="preserve">Bergmans Armand </v>
      </c>
      <c r="F75" s="137">
        <f>DeBeek!T4</f>
        <v>29</v>
      </c>
      <c r="G75" s="104"/>
      <c r="H75" s="104"/>
      <c r="I75" s="106"/>
    </row>
    <row r="76" spans="2:9" ht="12.9" customHeight="1">
      <c r="B76" s="140" t="str">
        <f>Wildert2!A5</f>
        <v>Eestermans René</v>
      </c>
      <c r="C76" s="139">
        <f>Wildert2!T5</f>
        <v>28</v>
      </c>
      <c r="D76" s="104"/>
      <c r="E76" s="125" t="str">
        <f>DeBeek!A5</f>
        <v>Beyers Armand</v>
      </c>
      <c r="F76" s="141">
        <f>DeBeek!T5</f>
        <v>36</v>
      </c>
      <c r="G76" s="104"/>
      <c r="H76" s="104"/>
      <c r="I76" s="106"/>
    </row>
    <row r="77" spans="2:9" ht="12.9" customHeight="1">
      <c r="B77" s="140" t="str">
        <f>Wildert2!A6</f>
        <v xml:space="preserve">Eijckholt Adrie              </v>
      </c>
      <c r="C77" s="139">
        <f>Wildert2!T6</f>
        <v>42</v>
      </c>
      <c r="D77" s="104"/>
      <c r="E77" s="138" t="str">
        <f>DeBeek!A6</f>
        <v xml:space="preserve">Beyers Roger </v>
      </c>
      <c r="F77" s="141">
        <f>DeBeek!T6</f>
        <v>46</v>
      </c>
      <c r="G77" s="104"/>
      <c r="H77" s="104"/>
      <c r="I77" s="106"/>
    </row>
    <row r="78" spans="2:9" ht="12.9" customHeight="1">
      <c r="B78" s="140" t="str">
        <f>Wildert2!A7</f>
        <v xml:space="preserve">Francken Robert </v>
      </c>
      <c r="C78" s="139">
        <f>Wildert2!T7</f>
        <v>40</v>
      </c>
      <c r="D78" s="104"/>
      <c r="E78" s="138" t="str">
        <f>DeBeek!A7</f>
        <v xml:space="preserve">Binnemans Rene </v>
      </c>
      <c r="F78" s="141">
        <f>DeBeek!T7</f>
        <v>33</v>
      </c>
      <c r="G78" s="104"/>
      <c r="H78" s="104"/>
      <c r="I78" s="106"/>
    </row>
    <row r="79" spans="2:9" ht="12.9" customHeight="1">
      <c r="B79" s="140" t="str">
        <f>Wildert2!A8</f>
        <v xml:space="preserve">Leys Herman </v>
      </c>
      <c r="C79" s="139">
        <f>Wildert2!T8</f>
        <v>32</v>
      </c>
      <c r="D79" s="104"/>
      <c r="E79" s="140" t="str">
        <f>DeBeek!A8</f>
        <v>De Crom Ludo</v>
      </c>
      <c r="F79" s="141">
        <f>DeBeek!T8</f>
        <v>24</v>
      </c>
      <c r="G79" s="104"/>
      <c r="H79" s="104"/>
      <c r="I79" s="106"/>
    </row>
    <row r="80" spans="2:9" ht="12.9" customHeight="1">
      <c r="B80" s="140" t="str">
        <f>Wildert2!A9</f>
        <v>Mutsters Louis</v>
      </c>
      <c r="C80" s="139">
        <f>Wildert2!T9</f>
        <v>15</v>
      </c>
      <c r="D80" s="104"/>
      <c r="E80" s="138" t="str">
        <f>DeBeek!A9</f>
        <v>Geysen Louis</v>
      </c>
      <c r="F80" s="141">
        <f>DeBeek!T9</f>
        <v>23</v>
      </c>
      <c r="G80" s="104"/>
      <c r="H80" s="104"/>
      <c r="I80" s="106"/>
    </row>
    <row r="81" spans="2:9" ht="12.9" customHeight="1">
      <c r="B81" s="223" t="str">
        <f>Wildert2!A10</f>
        <v>Peeters Hugo [NS 36]</v>
      </c>
      <c r="C81" s="237">
        <f>Wildert2!T10</f>
        <v>39</v>
      </c>
      <c r="D81" s="104"/>
      <c r="E81" s="140" t="str">
        <f>DeBeek!A10</f>
        <v xml:space="preserve">Heyndrickx Alfons   </v>
      </c>
      <c r="F81" s="141">
        <f>DeBeek!T10</f>
        <v>26</v>
      </c>
      <c r="G81" s="104"/>
      <c r="H81" s="104"/>
      <c r="I81" s="106"/>
    </row>
    <row r="82" spans="2:9" ht="12.9" customHeight="1">
      <c r="B82" s="222" t="str">
        <f>Wildert2!A11</f>
        <v xml:space="preserve">Scholtis Vic  [NS 49] </v>
      </c>
      <c r="C82" s="237">
        <f>Wildert2!T11</f>
        <v>43</v>
      </c>
      <c r="D82" s="104"/>
      <c r="E82" s="138" t="str">
        <f>DeBeek!A11</f>
        <v xml:space="preserve">Van Looveren Dirk </v>
      </c>
      <c r="F82" s="141">
        <f>DeBeek!T11</f>
        <v>44</v>
      </c>
      <c r="G82" s="104"/>
      <c r="H82" s="104"/>
      <c r="I82" s="106"/>
    </row>
    <row r="83" spans="2:9" ht="12.9" customHeight="1">
      <c r="B83" s="125" t="str">
        <f>Wildert2!A12</f>
        <v>Van Den Bergh Jacky</v>
      </c>
      <c r="C83" s="139">
        <f>Wildert2!T12</f>
        <v>109</v>
      </c>
      <c r="D83" s="104"/>
      <c r="E83" s="138" t="str">
        <f>DeBeek!A12</f>
        <v>Van Wesenbeeck Marcel</v>
      </c>
      <c r="F83" s="141">
        <f>DeBeek!T12</f>
        <v>28</v>
      </c>
      <c r="G83" s="104"/>
      <c r="H83" s="104"/>
      <c r="I83" s="106"/>
    </row>
    <row r="84" spans="2:9">
      <c r="B84" s="140" t="str">
        <f>Wildert2!A13</f>
        <v xml:space="preserve">Van Ginneken Ludo </v>
      </c>
      <c r="C84" s="139">
        <f>Wildert2!T13</f>
        <v>45</v>
      </c>
      <c r="D84" s="104"/>
      <c r="E84" s="138" t="str">
        <f>DeBeek!A13</f>
        <v xml:space="preserve">Verhulst Adri     </v>
      </c>
      <c r="F84" s="141">
        <f>DeBeek!T13</f>
        <v>34</v>
      </c>
      <c r="G84" s="104"/>
      <c r="H84" s="104"/>
      <c r="I84" s="106"/>
    </row>
    <row r="85" spans="2:9">
      <c r="B85" s="140" t="str">
        <f>Wildert2!A14</f>
        <v>Van Hooydonck Swa</v>
      </c>
      <c r="C85" s="139">
        <f>Wildert2!T14</f>
        <v>35</v>
      </c>
      <c r="D85" s="104"/>
      <c r="E85" s="138">
        <f>DeBeek!A14</f>
        <v>0</v>
      </c>
      <c r="F85" s="141">
        <f>DeBeek!T14</f>
        <v>0</v>
      </c>
      <c r="G85" s="104"/>
      <c r="H85" s="104"/>
      <c r="I85" s="106"/>
    </row>
    <row r="86" spans="2:9">
      <c r="B86" s="140" t="str">
        <f>Wildert2!A15</f>
        <v>Wiericx Herman</v>
      </c>
      <c r="C86" s="139">
        <f>Wildert2!T15</f>
        <v>50</v>
      </c>
      <c r="D86" s="104"/>
      <c r="E86" s="138">
        <f>DeBeek!A15</f>
        <v>0</v>
      </c>
      <c r="F86" s="141">
        <f>DeBeek!T15</f>
        <v>0</v>
      </c>
      <c r="G86" s="104"/>
      <c r="H86" s="104"/>
      <c r="I86" s="106"/>
    </row>
    <row r="87" spans="2:9" ht="15" thickBot="1">
      <c r="B87" s="138">
        <f>Wildert2!A16</f>
        <v>0</v>
      </c>
      <c r="C87" s="141">
        <f>Wildert2!T16</f>
        <v>0</v>
      </c>
      <c r="D87" s="104"/>
      <c r="E87" s="138">
        <f>DeBeek!A16</f>
        <v>0</v>
      </c>
      <c r="F87" s="141">
        <f>DeBeek!T16</f>
        <v>0</v>
      </c>
      <c r="G87" s="104"/>
      <c r="H87" s="104"/>
      <c r="I87" s="106"/>
    </row>
    <row r="88" spans="2:9" ht="15.6" thickTop="1" thickBot="1">
      <c r="B88" s="143"/>
      <c r="C88" s="144">
        <f>SUM(C75:C87)</f>
        <v>521</v>
      </c>
      <c r="D88" s="104"/>
      <c r="E88" s="143"/>
      <c r="F88" s="145">
        <f>SUM(F75:F87)</f>
        <v>323</v>
      </c>
      <c r="G88" s="104"/>
      <c r="H88" s="104"/>
      <c r="I88" s="106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9"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/>
    <row r="2" spans="1:26" s="56" customFormat="1" ht="20.100000000000001" customHeight="1">
      <c r="A2"/>
      <c r="C2" s="356" t="s">
        <v>330</v>
      </c>
      <c r="D2" s="356"/>
      <c r="E2" s="356"/>
      <c r="F2" s="356"/>
      <c r="G2" s="356"/>
      <c r="H2" s="356"/>
      <c r="I2" s="356"/>
    </row>
    <row r="3" spans="1:26" s="56" customFormat="1" ht="20.100000000000001" customHeight="1">
      <c r="A3"/>
      <c r="C3" s="357" t="s">
        <v>197</v>
      </c>
      <c r="D3" s="357"/>
      <c r="E3" s="357"/>
      <c r="F3" s="357"/>
      <c r="G3" s="357"/>
      <c r="H3" s="357"/>
      <c r="I3" s="357"/>
    </row>
    <row r="4" spans="1:26" ht="5.0999999999999996" customHeight="1">
      <c r="C4" s="58"/>
      <c r="D4" s="58"/>
      <c r="E4" s="58"/>
      <c r="F4" s="59"/>
      <c r="G4" s="59"/>
      <c r="H4" s="60"/>
      <c r="I4" s="58"/>
      <c r="Z4" t="b">
        <v>0</v>
      </c>
    </row>
    <row r="6" spans="1:26" ht="15.6">
      <c r="B6" s="175" t="s">
        <v>5</v>
      </c>
      <c r="C6" s="175" t="s">
        <v>325</v>
      </c>
      <c r="D6" s="175" t="s">
        <v>131</v>
      </c>
      <c r="E6" s="175" t="s">
        <v>198</v>
      </c>
      <c r="F6" s="176">
        <v>2910</v>
      </c>
      <c r="G6" s="176" t="s">
        <v>199</v>
      </c>
      <c r="H6" s="177"/>
      <c r="I6" s="175" t="s">
        <v>200</v>
      </c>
      <c r="J6" s="178" t="s">
        <v>201</v>
      </c>
      <c r="K6" s="179"/>
    </row>
    <row r="7" spans="1:26" ht="15" customHeight="1">
      <c r="B7" s="175"/>
      <c r="C7" s="175"/>
      <c r="D7" s="175"/>
      <c r="E7" s="175"/>
      <c r="F7" s="176"/>
      <c r="G7" s="176"/>
      <c r="H7" s="177" t="s">
        <v>202</v>
      </c>
      <c r="I7" s="175" t="s">
        <v>203</v>
      </c>
      <c r="J7" s="179"/>
      <c r="K7" s="179"/>
    </row>
    <row r="8" spans="1:26" ht="5.0999999999999996" customHeight="1">
      <c r="B8" s="58"/>
      <c r="C8" s="58"/>
      <c r="D8" s="58"/>
      <c r="E8" s="58"/>
      <c r="F8" s="59"/>
      <c r="G8" s="59"/>
      <c r="H8" s="60"/>
      <c r="I8" s="58"/>
    </row>
    <row r="9" spans="1:26" ht="15.6">
      <c r="B9" s="180" t="s">
        <v>6</v>
      </c>
      <c r="C9" s="187" t="s">
        <v>325</v>
      </c>
      <c r="D9" s="180" t="s">
        <v>55</v>
      </c>
      <c r="E9" s="180" t="s">
        <v>318</v>
      </c>
      <c r="F9" s="181">
        <v>2910</v>
      </c>
      <c r="G9" s="181" t="s">
        <v>199</v>
      </c>
      <c r="H9" s="182"/>
      <c r="I9" s="180" t="s">
        <v>340</v>
      </c>
      <c r="J9" s="183" t="s">
        <v>323</v>
      </c>
      <c r="K9" s="184"/>
    </row>
    <row r="10" spans="1:26" ht="15.75" customHeight="1">
      <c r="B10" s="185"/>
      <c r="C10" s="185"/>
      <c r="D10" s="185"/>
      <c r="E10" s="180"/>
      <c r="F10" s="181"/>
      <c r="G10" s="181"/>
      <c r="H10" s="182" t="s">
        <v>202</v>
      </c>
      <c r="I10" s="180" t="s">
        <v>319</v>
      </c>
      <c r="J10" s="184"/>
      <c r="K10" s="184"/>
    </row>
    <row r="11" spans="1:26" ht="5.0999999999999996" customHeight="1">
      <c r="H11" s="60"/>
      <c r="I11" s="58"/>
    </row>
    <row r="12" spans="1:26" ht="15.6">
      <c r="B12" s="179" t="s">
        <v>204</v>
      </c>
      <c r="C12" s="179" t="s">
        <v>325</v>
      </c>
      <c r="D12" s="179" t="s">
        <v>85</v>
      </c>
      <c r="E12" s="179" t="s">
        <v>208</v>
      </c>
      <c r="F12" s="186">
        <v>2910</v>
      </c>
      <c r="G12" s="186" t="s">
        <v>199</v>
      </c>
      <c r="H12" s="177" t="s">
        <v>202</v>
      </c>
      <c r="I12" s="175" t="s">
        <v>209</v>
      </c>
      <c r="J12" s="178" t="s">
        <v>210</v>
      </c>
      <c r="K12" s="179"/>
    </row>
    <row r="13" spans="1:26" ht="4.95" customHeight="1">
      <c r="B13" s="179"/>
      <c r="C13" s="179"/>
      <c r="D13" s="179"/>
      <c r="E13" s="179"/>
      <c r="F13" s="186"/>
      <c r="G13" s="186"/>
      <c r="H13" s="177"/>
      <c r="I13" s="175"/>
      <c r="J13" s="178"/>
      <c r="K13" s="179"/>
    </row>
    <row r="14" spans="1:26" ht="4.95" customHeight="1">
      <c r="H14" s="60"/>
      <c r="I14" s="58"/>
      <c r="J14" s="57"/>
    </row>
    <row r="15" spans="1:26" s="10" customFormat="1" ht="22.95" customHeight="1">
      <c r="A15"/>
      <c r="B15" s="195" t="s">
        <v>211</v>
      </c>
      <c r="C15" s="195" t="s">
        <v>325</v>
      </c>
      <c r="D15" s="195" t="s">
        <v>205</v>
      </c>
      <c r="E15" s="195" t="s">
        <v>206</v>
      </c>
      <c r="F15" s="196">
        <v>2910</v>
      </c>
      <c r="G15" s="196" t="s">
        <v>199</v>
      </c>
      <c r="H15" s="199"/>
      <c r="I15" s="197" t="s">
        <v>207</v>
      </c>
      <c r="J15" s="195"/>
      <c r="K15" s="195"/>
    </row>
    <row r="16" spans="1:26" ht="4.95" customHeight="1">
      <c r="B16" s="184"/>
      <c r="C16" s="184"/>
      <c r="D16" s="184"/>
      <c r="E16" s="184"/>
      <c r="F16" s="203"/>
      <c r="G16" s="203"/>
      <c r="H16" s="189"/>
      <c r="I16" s="187"/>
      <c r="J16" s="183"/>
      <c r="K16" s="184"/>
    </row>
    <row r="17" spans="1:11" ht="5.0999999999999996" customHeight="1">
      <c r="B17" s="58"/>
      <c r="C17" s="58"/>
      <c r="D17" s="58"/>
      <c r="E17" s="58"/>
      <c r="F17" s="59"/>
      <c r="G17" s="59"/>
      <c r="H17" s="60"/>
      <c r="I17" s="58"/>
    </row>
    <row r="18" spans="1:11" s="10" customFormat="1" ht="22.95" customHeight="1">
      <c r="A18"/>
      <c r="B18" s="190" t="s">
        <v>15</v>
      </c>
      <c r="C18" s="190" t="s">
        <v>325</v>
      </c>
      <c r="D18" s="190" t="s">
        <v>326</v>
      </c>
      <c r="E18" s="190" t="s">
        <v>320</v>
      </c>
      <c r="F18" s="191">
        <v>2910</v>
      </c>
      <c r="G18" s="191" t="s">
        <v>199</v>
      </c>
      <c r="H18" s="193" t="s">
        <v>202</v>
      </c>
      <c r="I18" s="192" t="s">
        <v>321</v>
      </c>
      <c r="J18" s="194" t="s">
        <v>322</v>
      </c>
      <c r="K18" s="190"/>
    </row>
    <row r="19" spans="1:11" ht="4.95" customHeight="1">
      <c r="B19" s="179"/>
      <c r="C19" s="179"/>
      <c r="D19" s="179"/>
      <c r="E19" s="179"/>
      <c r="F19" s="186"/>
      <c r="G19" s="186"/>
      <c r="H19" s="177"/>
      <c r="I19" s="175"/>
      <c r="J19" s="178"/>
      <c r="K19" s="179"/>
    </row>
    <row r="20" spans="1:11" ht="5.0999999999999996" customHeight="1">
      <c r="H20" s="60"/>
      <c r="I20" s="58"/>
    </row>
    <row r="21" spans="1:11" ht="15.6">
      <c r="B21" s="187" t="s">
        <v>11</v>
      </c>
      <c r="C21" s="187" t="s">
        <v>325</v>
      </c>
      <c r="D21" s="187" t="s">
        <v>111</v>
      </c>
      <c r="E21" s="187" t="s">
        <v>212</v>
      </c>
      <c r="F21" s="188">
        <v>2910</v>
      </c>
      <c r="G21" s="188" t="s">
        <v>199</v>
      </c>
      <c r="H21" s="189" t="s">
        <v>202</v>
      </c>
      <c r="I21" s="187" t="s">
        <v>214</v>
      </c>
      <c r="J21" s="183" t="s">
        <v>213</v>
      </c>
      <c r="K21" s="184"/>
    </row>
    <row r="22" spans="1:11" ht="15.6">
      <c r="B22" s="187"/>
      <c r="C22" s="187"/>
      <c r="D22" s="187"/>
      <c r="E22" s="187"/>
      <c r="F22" s="188"/>
      <c r="G22" s="188"/>
      <c r="H22" s="189"/>
      <c r="I22" s="187"/>
      <c r="J22" s="184"/>
      <c r="K22" s="184"/>
    </row>
    <row r="23" spans="1:11" ht="5.0999999999999996" customHeight="1">
      <c r="H23" s="60"/>
      <c r="I23" s="58"/>
    </row>
    <row r="24" spans="1:11" s="10" customFormat="1" ht="22.95" customHeight="1">
      <c r="A24"/>
      <c r="B24" s="190" t="s">
        <v>215</v>
      </c>
      <c r="C24" s="190" t="s">
        <v>325</v>
      </c>
      <c r="D24" s="190" t="s">
        <v>122</v>
      </c>
      <c r="E24" s="190" t="s">
        <v>216</v>
      </c>
      <c r="F24" s="191">
        <v>2910</v>
      </c>
      <c r="G24" s="191" t="s">
        <v>199</v>
      </c>
      <c r="H24" s="193" t="s">
        <v>202</v>
      </c>
      <c r="I24" s="192" t="s">
        <v>217</v>
      </c>
      <c r="J24" s="194" t="s">
        <v>218</v>
      </c>
      <c r="K24" s="190"/>
    </row>
    <row r="25" spans="1:11" ht="4.95" customHeight="1">
      <c r="H25" s="60"/>
      <c r="I25" s="58"/>
    </row>
    <row r="26" spans="1:11" ht="15.6">
      <c r="B26" s="187" t="s">
        <v>219</v>
      </c>
      <c r="C26" s="187" t="s">
        <v>325</v>
      </c>
      <c r="D26" s="187" t="s">
        <v>72</v>
      </c>
      <c r="E26" s="187" t="s">
        <v>220</v>
      </c>
      <c r="F26" s="188">
        <v>2910</v>
      </c>
      <c r="G26" s="188" t="s">
        <v>199</v>
      </c>
      <c r="H26" s="189"/>
      <c r="I26" s="187" t="s">
        <v>221</v>
      </c>
      <c r="J26" s="183" t="s">
        <v>222</v>
      </c>
      <c r="K26" s="184"/>
    </row>
    <row r="27" spans="1:11" ht="4.95" customHeight="1">
      <c r="B27" s="184"/>
      <c r="C27" s="184"/>
      <c r="D27" s="184"/>
      <c r="E27" s="184"/>
      <c r="F27" s="203"/>
      <c r="G27" s="203"/>
      <c r="H27" s="189"/>
      <c r="I27" s="187"/>
      <c r="J27" s="183"/>
      <c r="K27" s="184"/>
    </row>
    <row r="28" spans="1:11" ht="5.0999999999999996" customHeight="1">
      <c r="B28" s="58"/>
      <c r="C28" s="58"/>
      <c r="D28" s="58"/>
      <c r="E28" s="58"/>
      <c r="F28" s="59"/>
      <c r="G28" s="59"/>
      <c r="H28" s="60"/>
      <c r="I28" s="58"/>
    </row>
    <row r="29" spans="1:11" ht="15.6">
      <c r="B29" s="175" t="s">
        <v>39</v>
      </c>
      <c r="C29" s="190" t="s">
        <v>325</v>
      </c>
      <c r="D29" s="175" t="s">
        <v>150</v>
      </c>
      <c r="E29" s="175" t="s">
        <v>336</v>
      </c>
      <c r="F29" s="176">
        <v>2950</v>
      </c>
      <c r="G29" s="176" t="s">
        <v>337</v>
      </c>
      <c r="H29" s="177" t="s">
        <v>202</v>
      </c>
      <c r="I29" s="175" t="s">
        <v>324</v>
      </c>
      <c r="J29" s="178" t="s">
        <v>223</v>
      </c>
      <c r="K29" s="179"/>
    </row>
    <row r="30" spans="1:11" ht="4.95" customHeight="1">
      <c r="B30" s="179"/>
      <c r="C30" s="179"/>
      <c r="D30" s="179"/>
      <c r="E30" s="179"/>
      <c r="F30" s="186"/>
      <c r="G30" s="186"/>
      <c r="H30" s="177"/>
      <c r="I30" s="175"/>
      <c r="J30" s="178"/>
      <c r="K30" s="179"/>
    </row>
    <row r="31" spans="1:11" ht="4.95" customHeight="1">
      <c r="B31" s="58"/>
      <c r="C31" s="58"/>
      <c r="D31" s="58"/>
      <c r="E31" s="58"/>
      <c r="F31" s="59"/>
      <c r="G31" s="59"/>
      <c r="H31" s="60"/>
      <c r="I31" s="58"/>
    </row>
    <row r="32" spans="1:11" s="10" customFormat="1" ht="22.95" customHeight="1">
      <c r="A32"/>
      <c r="B32" s="197" t="s">
        <v>224</v>
      </c>
      <c r="C32" s="187" t="s">
        <v>325</v>
      </c>
      <c r="D32" s="197" t="s">
        <v>361</v>
      </c>
      <c r="E32" s="197" t="s">
        <v>362</v>
      </c>
      <c r="F32" s="198">
        <v>2910</v>
      </c>
      <c r="G32" s="198" t="s">
        <v>199</v>
      </c>
      <c r="H32" s="199" t="s">
        <v>202</v>
      </c>
      <c r="I32" s="197" t="s">
        <v>363</v>
      </c>
      <c r="J32" s="200" t="s">
        <v>364</v>
      </c>
      <c r="K32" s="195"/>
    </row>
    <row r="33" spans="1:11" ht="4.95" customHeight="1">
      <c r="B33" s="58"/>
      <c r="C33" s="58"/>
      <c r="D33" s="58"/>
      <c r="E33" s="58"/>
      <c r="F33" s="59"/>
      <c r="G33" s="59"/>
      <c r="H33" s="60"/>
      <c r="I33" s="58"/>
    </row>
    <row r="34" spans="1:11" s="10" customFormat="1" ht="22.95" customHeight="1">
      <c r="A34"/>
      <c r="B34" s="192" t="s">
        <v>225</v>
      </c>
      <c r="C34" s="190" t="s">
        <v>325</v>
      </c>
      <c r="D34" s="192" t="s">
        <v>161</v>
      </c>
      <c r="E34" s="192" t="s">
        <v>226</v>
      </c>
      <c r="F34" s="201">
        <v>2910</v>
      </c>
      <c r="G34" s="201" t="s">
        <v>199</v>
      </c>
      <c r="H34" s="193" t="s">
        <v>202</v>
      </c>
      <c r="I34" s="192" t="s">
        <v>227</v>
      </c>
      <c r="J34" s="194" t="s">
        <v>228</v>
      </c>
      <c r="K34" s="190"/>
    </row>
    <row r="35" spans="1:11" ht="4.95" customHeight="1">
      <c r="B35" s="58"/>
      <c r="C35" s="58"/>
      <c r="D35" s="58"/>
      <c r="E35" s="58"/>
      <c r="F35" s="59"/>
      <c r="G35" s="59"/>
      <c r="H35" s="60"/>
      <c r="I35" s="58"/>
    </row>
    <row r="36" spans="1:11" ht="15.6">
      <c r="B36" s="187" t="s">
        <v>12</v>
      </c>
      <c r="C36" s="187" t="s">
        <v>325</v>
      </c>
      <c r="D36" s="187" t="s">
        <v>169</v>
      </c>
      <c r="E36" s="187" t="s">
        <v>229</v>
      </c>
      <c r="F36" s="188">
        <v>2910</v>
      </c>
      <c r="G36" s="188" t="s">
        <v>199</v>
      </c>
      <c r="H36" s="189"/>
      <c r="I36" s="187" t="s">
        <v>230</v>
      </c>
      <c r="J36" s="183" t="s">
        <v>231</v>
      </c>
      <c r="K36" s="184"/>
    </row>
    <row r="37" spans="1:11" ht="15.6">
      <c r="B37" s="187"/>
      <c r="C37" s="187"/>
      <c r="D37" s="187"/>
      <c r="E37" s="187"/>
      <c r="F37" s="188"/>
      <c r="G37" s="188"/>
      <c r="H37" s="189" t="s">
        <v>202</v>
      </c>
      <c r="I37" s="187" t="s">
        <v>232</v>
      </c>
      <c r="J37" s="184"/>
      <c r="K37" s="184"/>
    </row>
    <row r="38" spans="1:11" ht="5.0999999999999996" customHeight="1">
      <c r="H38" s="60"/>
      <c r="I38" s="58"/>
    </row>
    <row r="39" spans="1:11" ht="15.6">
      <c r="B39" s="179" t="s">
        <v>8</v>
      </c>
      <c r="C39" s="190" t="s">
        <v>325</v>
      </c>
      <c r="D39" s="179" t="s">
        <v>181</v>
      </c>
      <c r="E39" s="179" t="s">
        <v>233</v>
      </c>
      <c r="F39" s="186">
        <v>2910</v>
      </c>
      <c r="G39" s="186" t="s">
        <v>199</v>
      </c>
      <c r="H39" s="177"/>
      <c r="I39" s="175" t="s">
        <v>234</v>
      </c>
      <c r="J39" s="178" t="s">
        <v>235</v>
      </c>
      <c r="K39" s="179"/>
    </row>
    <row r="40" spans="1:11" ht="15.6">
      <c r="B40" s="179"/>
      <c r="C40" s="179"/>
      <c r="D40" s="179"/>
      <c r="E40" s="179"/>
      <c r="F40" s="186"/>
      <c r="G40" s="186"/>
      <c r="H40" s="177" t="s">
        <v>202</v>
      </c>
      <c r="I40" s="175" t="s">
        <v>328</v>
      </c>
      <c r="J40" s="179"/>
      <c r="K40" s="179"/>
    </row>
    <row r="41" spans="1:11" ht="5.0999999999999996" customHeight="1">
      <c r="H41" s="60"/>
      <c r="I41" s="58"/>
    </row>
    <row r="42" spans="1:11" s="10" customFormat="1" ht="22.95" customHeight="1">
      <c r="A42"/>
      <c r="B42" s="195" t="s">
        <v>290</v>
      </c>
      <c r="C42" s="187" t="s">
        <v>325</v>
      </c>
      <c r="D42" s="195" t="s">
        <v>186</v>
      </c>
      <c r="E42" s="197" t="s">
        <v>293</v>
      </c>
      <c r="F42" s="196">
        <v>2910</v>
      </c>
      <c r="G42" s="196" t="s">
        <v>199</v>
      </c>
      <c r="H42" s="199" t="s">
        <v>202</v>
      </c>
      <c r="I42" s="197" t="s">
        <v>329</v>
      </c>
      <c r="J42" s="200" t="s">
        <v>327</v>
      </c>
      <c r="K42" s="195"/>
    </row>
    <row r="43" spans="1:11" ht="4.95" customHeight="1">
      <c r="B43" s="184"/>
      <c r="C43" s="184"/>
      <c r="D43" s="184"/>
      <c r="E43" s="184"/>
      <c r="F43" s="203"/>
      <c r="G43" s="203"/>
      <c r="H43" s="189"/>
      <c r="I43" s="187"/>
      <c r="J43" s="183"/>
      <c r="K43" s="184"/>
    </row>
    <row r="45" spans="1:11" ht="5.0999999999999996" customHeight="1"/>
    <row r="46" spans="1:11" ht="21">
      <c r="C46" s="61"/>
    </row>
    <row r="47" spans="1:11" ht="12" customHeight="1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20"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6" customFormat="1" ht="24.9" customHeight="1">
      <c r="B2" s="356" t="s">
        <v>301</v>
      </c>
      <c r="C2" s="356"/>
      <c r="D2" s="356"/>
      <c r="E2" s="356"/>
      <c r="F2" s="356"/>
      <c r="G2" s="356"/>
      <c r="H2" s="356"/>
      <c r="J2" s="109"/>
    </row>
    <row r="3" spans="2:10" s="56" customFormat="1" ht="24.9" customHeight="1">
      <c r="B3" s="356" t="s">
        <v>236</v>
      </c>
      <c r="C3" s="356"/>
      <c r="D3" s="356"/>
      <c r="E3" s="356"/>
      <c r="F3" s="356"/>
      <c r="G3" s="356"/>
      <c r="H3" s="356"/>
      <c r="J3" s="109"/>
    </row>
    <row r="4" spans="2:10" ht="12.9" customHeight="1">
      <c r="J4" s="111" t="s">
        <v>237</v>
      </c>
    </row>
    <row r="6" spans="2:10" s="58" customFormat="1" ht="25.2" customHeight="1">
      <c r="B6" s="58" t="s">
        <v>15</v>
      </c>
      <c r="C6" s="58" t="s">
        <v>238</v>
      </c>
      <c r="D6" s="58" t="s">
        <v>239</v>
      </c>
      <c r="E6" s="58">
        <v>2910</v>
      </c>
      <c r="F6" s="58" t="s">
        <v>199</v>
      </c>
      <c r="H6" s="58" t="s">
        <v>240</v>
      </c>
      <c r="J6" s="59" t="s">
        <v>241</v>
      </c>
    </row>
    <row r="7" spans="2:10" s="58" customFormat="1" ht="25.2" customHeight="1">
      <c r="B7" s="58" t="s">
        <v>204</v>
      </c>
      <c r="C7" s="58" t="s">
        <v>238</v>
      </c>
      <c r="D7" s="58" t="s">
        <v>239</v>
      </c>
      <c r="E7" s="58">
        <v>2910</v>
      </c>
      <c r="F7" s="58" t="s">
        <v>199</v>
      </c>
      <c r="H7" s="58" t="s">
        <v>240</v>
      </c>
      <c r="J7" s="59" t="s">
        <v>242</v>
      </c>
    </row>
    <row r="8" spans="2:10" s="58" customFormat="1" ht="25.2" customHeight="1">
      <c r="B8" s="58" t="s">
        <v>211</v>
      </c>
      <c r="C8" s="58" t="s">
        <v>238</v>
      </c>
      <c r="D8" s="58" t="s">
        <v>239</v>
      </c>
      <c r="E8" s="58">
        <v>2910</v>
      </c>
      <c r="F8" s="58" t="s">
        <v>199</v>
      </c>
      <c r="G8" s="59"/>
      <c r="H8" s="58" t="s">
        <v>240</v>
      </c>
      <c r="J8" s="59" t="s">
        <v>243</v>
      </c>
    </row>
    <row r="9" spans="2:10" s="58" customFormat="1" ht="25.2" customHeight="1">
      <c r="B9" s="58" t="s">
        <v>5</v>
      </c>
      <c r="C9" s="58" t="s">
        <v>244</v>
      </c>
      <c r="D9" s="58" t="s">
        <v>245</v>
      </c>
      <c r="E9" s="58">
        <v>2910</v>
      </c>
      <c r="F9" s="58" t="s">
        <v>199</v>
      </c>
      <c r="G9" s="59"/>
      <c r="H9" s="58" t="s">
        <v>246</v>
      </c>
      <c r="J9" s="59" t="s">
        <v>247</v>
      </c>
    </row>
    <row r="10" spans="2:10" s="58" customFormat="1" ht="25.2" customHeight="1">
      <c r="B10" s="63" t="s">
        <v>6</v>
      </c>
      <c r="C10" s="58" t="s">
        <v>248</v>
      </c>
      <c r="D10" s="58" t="s">
        <v>249</v>
      </c>
      <c r="E10" s="58">
        <v>2910</v>
      </c>
      <c r="F10" s="58" t="s">
        <v>199</v>
      </c>
      <c r="G10" s="59"/>
      <c r="H10" s="58" t="s">
        <v>250</v>
      </c>
      <c r="J10" s="59" t="s">
        <v>247</v>
      </c>
    </row>
    <row r="11" spans="2:10" s="58" customFormat="1" ht="25.2" customHeight="1">
      <c r="B11" s="63" t="s">
        <v>219</v>
      </c>
      <c r="C11" s="58" t="s">
        <v>251</v>
      </c>
      <c r="D11" s="58" t="s">
        <v>252</v>
      </c>
      <c r="E11" s="58">
        <v>2910</v>
      </c>
      <c r="F11" s="58" t="s">
        <v>199</v>
      </c>
      <c r="G11" s="59"/>
      <c r="H11" s="58" t="s">
        <v>253</v>
      </c>
      <c r="J11" s="59" t="s">
        <v>243</v>
      </c>
    </row>
    <row r="12" spans="2:10" s="58" customFormat="1" ht="25.2" customHeight="1">
      <c r="B12" s="63" t="s">
        <v>11</v>
      </c>
      <c r="C12" s="58" t="s">
        <v>254</v>
      </c>
      <c r="D12" s="58" t="s">
        <v>255</v>
      </c>
      <c r="E12" s="58">
        <v>2910</v>
      </c>
      <c r="F12" s="58" t="s">
        <v>199</v>
      </c>
      <c r="G12" s="59"/>
      <c r="H12" s="58" t="s">
        <v>256</v>
      </c>
      <c r="J12" s="59" t="s">
        <v>241</v>
      </c>
    </row>
    <row r="13" spans="2:10" s="58" customFormat="1" ht="25.2" customHeight="1">
      <c r="B13" s="63" t="s">
        <v>215</v>
      </c>
      <c r="C13" s="58" t="s">
        <v>257</v>
      </c>
      <c r="D13" s="58" t="s">
        <v>258</v>
      </c>
      <c r="E13" s="58" t="s">
        <v>259</v>
      </c>
      <c r="F13" s="58" t="s">
        <v>260</v>
      </c>
      <c r="G13" s="59" t="s">
        <v>261</v>
      </c>
      <c r="H13" s="58" t="s">
        <v>262</v>
      </c>
      <c r="J13" s="59" t="s">
        <v>241</v>
      </c>
    </row>
    <row r="14" spans="2:10" s="58" customFormat="1" ht="25.2" customHeight="1">
      <c r="B14" s="63" t="s">
        <v>263</v>
      </c>
      <c r="C14" s="62" t="s">
        <v>264</v>
      </c>
      <c r="D14" s="58" t="s">
        <v>265</v>
      </c>
      <c r="E14" s="58">
        <v>2940</v>
      </c>
      <c r="F14" s="58" t="s">
        <v>266</v>
      </c>
      <c r="G14" s="59"/>
      <c r="H14" s="58" t="s">
        <v>267</v>
      </c>
      <c r="J14" s="59" t="s">
        <v>241</v>
      </c>
    </row>
    <row r="15" spans="2:10" s="58" customFormat="1" ht="25.2" customHeight="1">
      <c r="B15" s="63" t="s">
        <v>7</v>
      </c>
      <c r="C15" s="58" t="s">
        <v>254</v>
      </c>
      <c r="D15" s="58" t="s">
        <v>255</v>
      </c>
      <c r="E15" s="58">
        <v>2910</v>
      </c>
      <c r="F15" s="58" t="s">
        <v>199</v>
      </c>
      <c r="G15" s="59"/>
      <c r="H15" s="58" t="s">
        <v>256</v>
      </c>
      <c r="J15" s="59" t="s">
        <v>241</v>
      </c>
    </row>
    <row r="16" spans="2:10" s="58" customFormat="1" ht="25.2" customHeight="1">
      <c r="B16" s="63" t="s">
        <v>9</v>
      </c>
      <c r="C16" s="58" t="s">
        <v>254</v>
      </c>
      <c r="D16" s="58" t="s">
        <v>255</v>
      </c>
      <c r="E16" s="58">
        <v>2910</v>
      </c>
      <c r="F16" s="58" t="s">
        <v>199</v>
      </c>
      <c r="G16" s="59"/>
      <c r="H16" s="58" t="s">
        <v>256</v>
      </c>
      <c r="J16" s="59" t="s">
        <v>242</v>
      </c>
    </row>
    <row r="17" spans="2:10" s="58" customFormat="1" ht="25.2" customHeight="1">
      <c r="B17" s="63" t="s">
        <v>12</v>
      </c>
      <c r="C17" s="62" t="s">
        <v>244</v>
      </c>
      <c r="D17" s="58" t="s">
        <v>245</v>
      </c>
      <c r="E17" s="58">
        <v>2910</v>
      </c>
      <c r="F17" s="58" t="s">
        <v>199</v>
      </c>
      <c r="G17" s="59"/>
      <c r="H17" s="58" t="s">
        <v>268</v>
      </c>
      <c r="J17" s="59" t="s">
        <v>269</v>
      </c>
    </row>
    <row r="18" spans="2:10" s="58" customFormat="1" ht="25.2" customHeight="1">
      <c r="B18" s="63" t="s">
        <v>8</v>
      </c>
      <c r="C18" s="58" t="s">
        <v>270</v>
      </c>
      <c r="D18" s="58" t="s">
        <v>271</v>
      </c>
      <c r="E18" s="58">
        <v>2910</v>
      </c>
      <c r="F18" s="58" t="s">
        <v>199</v>
      </c>
      <c r="G18" s="59" t="s">
        <v>127</v>
      </c>
      <c r="H18" s="58" t="s">
        <v>272</v>
      </c>
      <c r="J18" s="59" t="s">
        <v>242</v>
      </c>
    </row>
    <row r="19" spans="2:10" s="58" customFormat="1" ht="25.2" customHeight="1">
      <c r="B19" s="58" t="s">
        <v>290</v>
      </c>
      <c r="C19" s="58" t="s">
        <v>291</v>
      </c>
      <c r="D19" s="58" t="s">
        <v>292</v>
      </c>
      <c r="E19" s="58">
        <v>2910</v>
      </c>
      <c r="F19" s="58" t="s">
        <v>199</v>
      </c>
      <c r="G19" s="59"/>
      <c r="J19" s="59" t="s">
        <v>242</v>
      </c>
    </row>
    <row r="20" spans="2:10" s="58" customFormat="1" ht="3" customHeight="1">
      <c r="B20" s="63"/>
      <c r="G20" s="59"/>
      <c r="J20" s="59"/>
    </row>
    <row r="21" spans="2:10" s="58" customFormat="1" ht="18" customHeight="1">
      <c r="G21" s="59"/>
      <c r="J21" s="59"/>
    </row>
    <row r="22" spans="2:10" s="79" customFormat="1" ht="18">
      <c r="C22" s="79" t="s">
        <v>273</v>
      </c>
      <c r="D22" s="79" t="s">
        <v>274</v>
      </c>
      <c r="G22" s="80"/>
      <c r="J22" s="80"/>
    </row>
    <row r="23" spans="2:10" s="79" customFormat="1" ht="18">
      <c r="G23" s="80"/>
      <c r="J23" s="80"/>
    </row>
    <row r="24" spans="2:10" s="58" customFormat="1" ht="15.6">
      <c r="B24" s="58" t="s">
        <v>275</v>
      </c>
      <c r="C24" s="58" t="s">
        <v>136</v>
      </c>
      <c r="D24" s="58" t="s">
        <v>276</v>
      </c>
      <c r="E24" s="58">
        <v>2910</v>
      </c>
      <c r="F24" s="58" t="s">
        <v>199</v>
      </c>
      <c r="G24" s="59"/>
      <c r="H24" s="58" t="s">
        <v>277</v>
      </c>
      <c r="I24" s="57" t="s">
        <v>278</v>
      </c>
      <c r="J24" s="59"/>
    </row>
    <row r="25" spans="2:10" s="58" customFormat="1" ht="9.9" customHeight="1">
      <c r="G25" s="59"/>
      <c r="H25" s="58" t="s">
        <v>127</v>
      </c>
      <c r="J25" s="59"/>
    </row>
    <row r="26" spans="2:10" s="58" customFormat="1" ht="15.6">
      <c r="B26" s="58" t="s">
        <v>279</v>
      </c>
      <c r="C26" s="58" t="s">
        <v>136</v>
      </c>
      <c r="D26" s="58" t="s">
        <v>276</v>
      </c>
      <c r="E26" s="58">
        <v>2910</v>
      </c>
      <c r="F26" s="58" t="s">
        <v>199</v>
      </c>
      <c r="G26" s="59"/>
      <c r="H26" s="58" t="s">
        <v>277</v>
      </c>
      <c r="I26" s="57" t="s">
        <v>278</v>
      </c>
      <c r="J26" s="59"/>
    </row>
    <row r="27" spans="2:10" s="58" customFormat="1" ht="9.9" customHeight="1">
      <c r="G27" s="59"/>
      <c r="J27" s="59"/>
    </row>
    <row r="28" spans="2:10" ht="15.6">
      <c r="B28" t="s">
        <v>280</v>
      </c>
      <c r="C28" s="58" t="s">
        <v>85</v>
      </c>
      <c r="D28" s="58" t="s">
        <v>208</v>
      </c>
      <c r="E28">
        <v>2910</v>
      </c>
      <c r="F28" t="s">
        <v>199</v>
      </c>
      <c r="H28" s="58" t="s">
        <v>209</v>
      </c>
      <c r="I28" s="57" t="s">
        <v>210</v>
      </c>
    </row>
    <row r="29" spans="2:10" ht="9.9" customHeight="1"/>
    <row r="30" spans="2:10" ht="15.6">
      <c r="H30" s="96" t="s">
        <v>342</v>
      </c>
      <c r="I30" s="57" t="s">
        <v>341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2026-01-20T16:19:27Z</cp:lastPrinted>
  <dcterms:created xsi:type="dcterms:W3CDTF">2017-09-04T07:39:22Z</dcterms:created>
  <dcterms:modified xsi:type="dcterms:W3CDTF">2026-03-13T10:26:57Z</dcterms:modified>
  <cp:category/>
  <cp:contentStatus/>
</cp:coreProperties>
</file>