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5D56BECB-4590-4BC6-A2F4-929095D92687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17" l="1"/>
  <c r="N31" i="17"/>
  <c r="G20" i="7"/>
  <c r="Q20" i="7"/>
  <c r="R20" i="7"/>
  <c r="N126" i="17" l="1"/>
  <c r="N138" i="17" s="1"/>
  <c r="M138" i="17"/>
  <c r="Q20" i="15"/>
  <c r="R20" i="15"/>
  <c r="M63" i="17" l="1"/>
  <c r="J20" i="7"/>
  <c r="I31" i="17"/>
  <c r="L31" i="17"/>
  <c r="P20" i="7"/>
  <c r="AE2" i="15" l="1"/>
  <c r="AE2" i="1"/>
  <c r="AE2" i="14"/>
  <c r="AE2" i="12"/>
  <c r="AE17" i="12" s="1"/>
  <c r="AE2" i="3"/>
  <c r="AE8" i="3" s="1"/>
  <c r="AE2" i="7"/>
  <c r="AE2" i="10"/>
  <c r="AE2" i="4"/>
  <c r="R104" i="17"/>
  <c r="Q104" i="17"/>
  <c r="P104" i="17"/>
  <c r="O104" i="17"/>
  <c r="N104" i="17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A103" i="17" s="1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I20" i="7"/>
  <c r="I92" i="17"/>
  <c r="G92" i="17"/>
  <c r="E92" i="17"/>
  <c r="I131" i="17"/>
  <c r="F131" i="17"/>
  <c r="E131" i="17"/>
  <c r="I130" i="17"/>
  <c r="H130" i="17"/>
  <c r="G130" i="17"/>
  <c r="H20" i="7"/>
  <c r="AE9" i="3" l="1"/>
  <c r="AE16" i="15"/>
  <c r="AE17" i="15"/>
  <c r="AE13" i="3"/>
  <c r="AE15" i="3"/>
  <c r="AE16" i="3"/>
  <c r="AE18" i="15"/>
  <c r="AE17" i="14"/>
  <c r="AE19" i="14"/>
  <c r="AE8" i="14"/>
  <c r="AE12" i="14"/>
  <c r="AE10" i="14"/>
  <c r="AE6" i="15"/>
  <c r="AE19" i="15"/>
  <c r="AE11" i="15"/>
  <c r="AE18" i="1"/>
  <c r="AE17" i="1"/>
  <c r="AE19" i="1"/>
  <c r="AE10" i="1"/>
  <c r="AE11" i="1"/>
  <c r="AE13" i="1"/>
  <c r="AE18" i="12"/>
  <c r="AE10" i="12"/>
  <c r="AE19" i="12"/>
  <c r="AE14" i="12"/>
  <c r="AE13" i="12"/>
  <c r="AE15" i="12"/>
  <c r="AE19" i="3"/>
  <c r="AE18" i="7"/>
  <c r="AE19" i="7"/>
  <c r="AE15" i="7"/>
  <c r="AE17" i="7"/>
  <c r="AE9" i="7"/>
  <c r="AE10" i="7"/>
  <c r="AE16" i="7"/>
  <c r="AE10" i="10"/>
  <c r="AE11" i="10"/>
  <c r="AE15" i="10"/>
  <c r="AE7" i="10"/>
  <c r="AE12" i="10"/>
  <c r="AE7" i="4"/>
  <c r="AE19" i="4"/>
  <c r="AE17" i="4"/>
  <c r="AE18" i="4"/>
  <c r="AE6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C31" i="17" l="1"/>
  <c r="C50" i="17"/>
  <c r="C68" i="17"/>
  <c r="C86" i="17"/>
  <c r="C104" i="17"/>
  <c r="C120" i="17"/>
  <c r="C138" i="17"/>
  <c r="C16" i="19" l="1"/>
  <c r="F50" i="19"/>
  <c r="F51" i="19"/>
  <c r="M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M31" i="17" s="1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M104" i="17" l="1"/>
  <c r="L104" i="17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Y16" i="12" l="1"/>
  <c r="AD16" i="4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9" i="18" l="1"/>
  <c r="A12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AE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AE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9" i="12" l="1"/>
  <c r="AE11" i="12"/>
  <c r="AE12" i="12"/>
  <c r="AE13" i="7"/>
  <c r="AE14" i="7"/>
  <c r="M14" i="1"/>
  <c r="M10" i="14"/>
  <c r="N12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AE6" i="12" s="1"/>
  <c r="M13" i="15"/>
  <c r="M18" i="7"/>
  <c r="AA18" i="7"/>
  <c r="AC18" i="7" s="1"/>
  <c r="M17" i="12"/>
  <c r="AA17" i="12"/>
  <c r="AC17" i="12" s="1"/>
  <c r="M11" i="12"/>
  <c r="AA11" i="12"/>
  <c r="M7" i="15"/>
  <c r="M16" i="4"/>
  <c r="C16" i="17"/>
  <c r="M13" i="12"/>
  <c r="AA13" i="12"/>
  <c r="N10" i="1"/>
  <c r="AC7" i="7"/>
  <c r="C23" i="17"/>
  <c r="M16" i="12"/>
  <c r="AA16" i="12"/>
  <c r="AE16" i="12" s="1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AE8" i="7" s="1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AE5" i="12" l="1"/>
  <c r="H14" i="18" s="1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J14" i="18" l="1"/>
  <c r="AE16" i="14"/>
  <c r="J15" i="18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" l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AE19" i="10" s="1"/>
  <c r="Y19" i="10"/>
  <c r="AC19" i="10" l="1"/>
  <c r="AD19" i="10"/>
  <c r="A14" i="18" l="1"/>
  <c r="P120" i="17" l="1"/>
  <c r="Q120" i="17"/>
  <c r="P17" i="17" l="1"/>
  <c r="R17" i="17"/>
  <c r="O17" i="17"/>
  <c r="Q17" i="17"/>
  <c r="O120" i="1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X20" i="3"/>
  <c r="W20" i="3"/>
  <c r="W5" i="10"/>
  <c r="X5" i="10"/>
  <c r="Y20" i="1" l="1"/>
  <c r="Y20" i="3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1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2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4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8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4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A6" i="14"/>
  <c r="C91" i="17" s="1"/>
  <c r="AA5" i="14"/>
  <c r="AA18" i="10"/>
  <c r="C48" i="17" s="1"/>
  <c r="AB18" i="10"/>
  <c r="AE18" i="10" s="1"/>
  <c r="AB14" i="10"/>
  <c r="AE14" i="10" s="1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E8" i="15" s="1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AE15" i="14" s="1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AE15" i="15" s="1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4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AE5" i="15" s="1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E5" i="10" s="1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AE14" i="4" s="1"/>
  <c r="K14" i="4"/>
  <c r="AA14" i="4" s="1"/>
  <c r="L13" i="4"/>
  <c r="AB13" i="4" s="1"/>
  <c r="AE13" i="4" s="1"/>
  <c r="K13" i="4"/>
  <c r="AA13" i="4" s="1"/>
  <c r="L12" i="4"/>
  <c r="AB12" i="4" s="1"/>
  <c r="AE12" i="4" s="1"/>
  <c r="K12" i="4"/>
  <c r="AA12" i="4" s="1"/>
  <c r="L11" i="4"/>
  <c r="AB11" i="4" s="1"/>
  <c r="AE11" i="4" s="1"/>
  <c r="K11" i="4"/>
  <c r="AA11" i="4" s="1"/>
  <c r="L10" i="4"/>
  <c r="AB10" i="4" s="1"/>
  <c r="AE10" i="4" s="1"/>
  <c r="K10" i="4"/>
  <c r="AA10" i="4" s="1"/>
  <c r="L9" i="4"/>
  <c r="AB9" i="4" s="1"/>
  <c r="AE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B17" i="3"/>
  <c r="AE17" i="3" s="1"/>
  <c r="AA17" i="3"/>
  <c r="C66" i="17" s="1"/>
  <c r="AB15" i="3"/>
  <c r="Y14" i="3"/>
  <c r="AB14" i="3"/>
  <c r="AE14" i="3" s="1"/>
  <c r="AA14" i="3"/>
  <c r="C63" i="17" s="1"/>
  <c r="AB13" i="3"/>
  <c r="AB12" i="3"/>
  <c r="AE12" i="3" s="1"/>
  <c r="AA12" i="3"/>
  <c r="C61" i="17" s="1"/>
  <c r="AB11" i="3"/>
  <c r="AA11" i="3"/>
  <c r="C60" i="17" s="1"/>
  <c r="AB10" i="3"/>
  <c r="AE10" i="3" s="1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AE12" i="15" l="1"/>
  <c r="AE11" i="3"/>
  <c r="AE10" i="15"/>
  <c r="AE13" i="14"/>
  <c r="AE7" i="14"/>
  <c r="AE6" i="14"/>
  <c r="AC5" i="4"/>
  <c r="AE5" i="4"/>
  <c r="AE9" i="14"/>
  <c r="AE14" i="14"/>
  <c r="J11" i="18" s="1"/>
  <c r="H11" i="18"/>
  <c r="AE13" i="10"/>
  <c r="H13" i="18" s="1"/>
  <c r="AE7" i="15"/>
  <c r="AE13" i="15"/>
  <c r="AE9" i="15"/>
  <c r="B4" i="18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1" i="18" s="1"/>
  <c r="AB20" i="14"/>
  <c r="AB20" i="15"/>
  <c r="AB20" i="12"/>
  <c r="AC20" i="12" s="1"/>
  <c r="C126" i="17"/>
  <c r="C139" i="17" s="1"/>
  <c r="D12" i="18" s="1"/>
  <c r="AA20" i="15"/>
  <c r="F12" i="18" s="1"/>
  <c r="Y20" i="14"/>
  <c r="Y20" i="15"/>
  <c r="Y20" i="10"/>
  <c r="AB20" i="10"/>
  <c r="M20" i="10"/>
  <c r="C35" i="17"/>
  <c r="AA20" i="10"/>
  <c r="F13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E6" i="3" s="1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AB19" i="1"/>
  <c r="AB8" i="1"/>
  <c r="AB10" i="1"/>
  <c r="AB12" i="1"/>
  <c r="AB14" i="1"/>
  <c r="Y14" i="1"/>
  <c r="J13" i="18" l="1"/>
  <c r="H12" i="18"/>
  <c r="AE7" i="3"/>
  <c r="J9" i="18" s="1"/>
  <c r="J12" i="18"/>
  <c r="C87" i="17"/>
  <c r="D14" i="18" s="1"/>
  <c r="AB20" i="4"/>
  <c r="AE15" i="4"/>
  <c r="M20" i="4"/>
  <c r="C51" i="17"/>
  <c r="D13" i="18" s="1"/>
  <c r="L15" i="18"/>
  <c r="L11" i="18"/>
  <c r="L13" i="18"/>
  <c r="AC15" i="4"/>
  <c r="AC20" i="14"/>
  <c r="AC20" i="15"/>
  <c r="C15" i="17"/>
  <c r="AA20" i="4"/>
  <c r="F10" i="18" s="1"/>
  <c r="AB20" i="3"/>
  <c r="AA20" i="3"/>
  <c r="F9" i="18" s="1"/>
  <c r="AC20" i="10"/>
  <c r="D11" i="18"/>
  <c r="C69" i="17"/>
  <c r="D9" i="18" s="1"/>
  <c r="L105" i="17"/>
  <c r="C163" i="17"/>
  <c r="AF17" i="16"/>
  <c r="M121" i="17"/>
  <c r="N121" i="17" s="1"/>
  <c r="O121" i="17" s="1"/>
  <c r="P121" i="17" s="1"/>
  <c r="Q121" i="17" s="1"/>
  <c r="R121" i="17" s="1"/>
  <c r="B8" i="18" s="1"/>
  <c r="AD10" i="4"/>
  <c r="AD17" i="4"/>
  <c r="AD6" i="3"/>
  <c r="Y10" i="1"/>
  <c r="Y13" i="1"/>
  <c r="AC20" i="7"/>
  <c r="AB13" i="1"/>
  <c r="Y8" i="1"/>
  <c r="Y6" i="1"/>
  <c r="Y7" i="1"/>
  <c r="AB7" i="1"/>
  <c r="AE7" i="1" s="1"/>
  <c r="Y12" i="1"/>
  <c r="Y5" i="1"/>
  <c r="Y9" i="1"/>
  <c r="AB9" i="1"/>
  <c r="AE9" i="1" s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E6" i="1" s="1"/>
  <c r="AB5" i="1"/>
  <c r="H9" i="18" l="1"/>
  <c r="L9" i="18" s="1"/>
  <c r="AE8" i="1"/>
  <c r="N8" i="18"/>
  <c r="AE12" i="1"/>
  <c r="AE14" i="1"/>
  <c r="H10" i="18"/>
  <c r="L10" i="18" s="1"/>
  <c r="J10" i="18"/>
  <c r="K14" i="18"/>
  <c r="L14" i="18"/>
  <c r="K15" i="18"/>
  <c r="L12" i="18"/>
  <c r="K13" i="18"/>
  <c r="K11" i="18"/>
  <c r="K12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8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N11" i="18" l="1"/>
  <c r="AE5" i="1"/>
  <c r="K9" i="18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1" i="18"/>
  <c r="AD5" i="1"/>
  <c r="AC5" i="1"/>
  <c r="H8" i="18" l="1"/>
  <c r="L8" i="18" s="1"/>
  <c r="J8" i="18"/>
  <c r="C121" i="17"/>
  <c r="D8" i="18" s="1"/>
  <c r="E40" i="22"/>
  <c r="E90" i="22"/>
  <c r="E20" i="22" l="1"/>
  <c r="E58" i="22"/>
  <c r="K8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9" i="18"/>
  <c r="O8" i="18"/>
  <c r="O13" i="18"/>
  <c r="O12" i="18"/>
  <c r="O14" i="18"/>
  <c r="O11" i="18"/>
  <c r="O15" i="18"/>
  <c r="O9" i="18"/>
  <c r="O10" i="18"/>
  <c r="N9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<sst xmlns="http://schemas.openxmlformats.org/spreadsheetml/2006/main" count="650" uniqueCount="275">
  <si>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</si>
  <si>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</si>
  <si>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</si>
  <si>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</si>
  <si>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</si>
  <si>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</si>
  <si>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</si>
  <si>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</si>
  <si>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</si>
  <si>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</si>
  <si>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</si>
  <si>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</si>
  <si>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</si>
  <si>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</si>
  <si>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</si>
  <si>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</si>
  <si>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</si>
  <si>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</si>
  <si>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</si>
  <si>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</si>
  <si>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</si>
  <si>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</si>
  <si>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</si>
  <si>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</si>
  <si>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</si>
  <si>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</si>
  <si>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</si>
  <si>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</si>
  <si>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</si>
  <si>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</si>
  <si>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</si>
  <si>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</si>
  <si>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</si>
  <si>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</si>
  <si>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</si>
  <si>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</si>
  <si>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</si>
  <si>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</si>
  <si>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</si>
  <si>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</si>
  <si>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</si>
  <si>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</si>
  <si>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</si>
  <si>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</si>
  <si>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</si>
  <si>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</si>
  <si>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</si>
  <si>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</si>
  <si>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</si>
  <si>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</si>
  <si>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</si>
  <si>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</si>
  <si>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</si>
  <si>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</si>
  <si>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</si>
  <si>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</si>
  <si>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</si>
  <si>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</si>
  <si>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</si>
  <si>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</si>
  <si>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</si>
  <si>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</si>
  <si>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</si>
  <si>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</si>
  <si>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</si>
  <si>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</si>
  <si>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</si>
  <si>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</si>
  <si>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</si>
  <si>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</si>
  <si>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</si>
  <si>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</si>
  <si>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</si>
  <si>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</si>
  <si>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</si>
  <si>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</si>
  <si>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</si>
  <si>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</si>
  <si>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</si>
  <si>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</si>
  <si>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</si>
  <si>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</si>
  <si>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</si>
  <si>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</si>
  <si>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</si>
  <si>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</si>
  <si>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</si>
  <si>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</si>
  <si>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</si>
  <si>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</si>
  <si>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</si>
  <si>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</si>
  <si>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</si>
  <si>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</si>
  <si>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</si>
  <si>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</si>
  <si>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</si>
  <si>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</si>
  <si>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</si>
  <si>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</si>
  <si>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</si>
  <si>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</si>
  <si>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</si>
  <si>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</si>
  <si>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</si>
  <si>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</si>
  <si>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</si>
  <si>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</si>
  <si>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</si>
  <si>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</si>
  <si>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</si>
  <si>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</si>
  <si>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</si>
  <si>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</si>
  <si>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</si>
  <si>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</si>
  <si>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</si>
  <si>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</si>
  <si>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</si>
  <si>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</si>
  <si>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</si>
  <si>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</si>
  <si>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</si>
  <si>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</si>
  <si>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</si>
  <si>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</si>
  <si>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</si>
  <si>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</si>
  <si>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</si>
  <si>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</si>
  <si>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</si>
  <si>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</si>
  <si>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</si>
  <si>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</si>
  <si>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</si>
  <si>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</si>
  <si>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</si>
  <si>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</si>
  <si>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</si>
  <si>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</si>
  <si>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</si>
  <si>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</si>
  <si>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</si>
  <si>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</si>
  <si>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</si>
  <si>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</si>
  <si>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</si>
  <si>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</si>
  <si>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</si>
  <si>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</si>
  <si>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</si>
  <si>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</si>
  <si>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</si>
  <si>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</si>
  <si>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</si>
  <si>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</si>
  <si>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</si>
  <si>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</si>
  <si>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</si>
  <si>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</si>
  <si>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</si>
  <si>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</si>
  <si>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</si>
  <si>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</si>
  <si>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</si>
  <si>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</si>
  <si>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</si>
  <si>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</si>
  <si>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</si>
  <si>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</si>
  <si>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</si>
  <si>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</si>
  <si>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</si>
  <si>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</si>
  <si>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</si>
  <si>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</si>
  <si>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</si>
  <si>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</si>
  <si>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</si>
  <si>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</si>
  <si>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</si>
  <si>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</si>
  <si>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</si>
  <si>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</si>
  <si>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</si>
  <si>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</si>
  <si>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</si>
  <si>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</si>
  <si>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</si>
  <si>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</si>
  <si>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</si>
  <si>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</si>
  <si>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</si>
  <si>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</si>
  <si>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</si>
  <si>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</si>
  <si>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</si>
  <si>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</si>
  <si>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</si>
  <si>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</si>
  <si>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</si>
  <si>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</si>
  <si>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</si>
  <si>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</si>
  <si>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</si>
  <si>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</si>
  <si>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</si>
  <si>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</si>
  <si>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</si>
  <si>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</si>
  <si>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</si>
  <si>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</si>
  <si>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</si>
  <si>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</si>
  <si>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</si>
  <si>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</si>
  <si>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</si>
  <si>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</si>
  <si>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</si>
  <si>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</si>
  <si>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</si>
  <si>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</si>
  <si>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</si>
  <si>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</si>
  <si>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</si>
  <si>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</si>
  <si>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</si>
  <si>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</si>
  <si>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</si>
  <si>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</si>
  <si>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</si>
  <si>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</si>
  <si>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</si>
  <si>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</si>
  <si>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</si>
  <si>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</si>
  <si>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</si>
  <si>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</si>
  <si>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</si>
  <si>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</si>
  <si>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</si>
  <si>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</si>
  <si>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</si>
  <si>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</si>
  <si>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</si>
  <si>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</si>
  <si>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</si>
  <si>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</si>
  <si>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</si>
  <si>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</si>
  <si>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</si>
  <si>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</si>
  <si>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</si>
  <si>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</si>
  <si>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</si>
  <si>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</si>
  <si>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</si>
  <si>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</si>
  <si>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</si>
  <si>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</si>
  <si>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</si>
  <si>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</si>
  <si>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</si>
  <si>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</si>
  <si>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</si>
  <si>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</si>
  <si>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</si>
  <si>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</si>
  <si>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</si>
  <si>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</si>
  <si>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</si>
  <si>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</si>
  <si>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</si>
  <si>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</si>
  <si>
    <r>
      <t xml:space="preserve">Nelen Jef  </t>
    </r>
    <r>
      <rPr>
        <b/>
        <sz val="11"/>
        <color rgb="FFFF0000"/>
        <rFont val="Arial"/>
        <family val="2"/>
      </rPr>
      <t>[NS 25]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</si>
</sst>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15" fillId="8" borderId="60" xfId="0" applyFont="1" applyFill="1" applyBorder="1" applyAlignment="1" applyProtection="1">
      <alignment horizontal="center" vertical="center"/>
      <protection locked="0"/>
    </xf>
    <xf numFmtId="0" fontId="15" fillId="8" borderId="61" xfId="0" applyFont="1" applyFill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82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FF33CC"/>
      <color rgb="FF008000"/>
      <color rgb="FF00CC00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5">
        <v>0</v>
      </c>
      <c r="B1" s="289" t="s">
        <v>225</v>
      </c>
      <c r="C1" s="290"/>
      <c r="D1" s="290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5"/>
      <c r="B2" s="290"/>
      <c r="C2" s="290"/>
      <c r="D2" s="290"/>
      <c r="E2" s="250"/>
      <c r="F2" s="291" t="s">
        <v>245</v>
      </c>
      <c r="G2" s="291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1</v>
      </c>
      <c r="B3" s="292" t="s">
        <v>48</v>
      </c>
      <c r="C3" s="292"/>
      <c r="D3" s="292"/>
      <c r="E3" s="253"/>
      <c r="F3" s="288">
        <v>46072</v>
      </c>
      <c r="G3" s="288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3" t="str">
        <f>IF(A8=14,"EINDSTAND", "TUSSENSTAND"  )</f>
        <v>TUSSENSTAND</v>
      </c>
      <c r="C4" s="293"/>
      <c r="D4" s="293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3"/>
      <c r="C5" s="293"/>
      <c r="D5" s="293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260</v>
      </c>
      <c r="O5" s="257" t="s">
        <v>261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6" t="s">
        <v>258</v>
      </c>
      <c r="G6" s="286"/>
      <c r="H6" s="287" t="s">
        <v>259</v>
      </c>
      <c r="I6" s="287"/>
      <c r="J6" s="287"/>
      <c r="K6" s="261" t="s">
        <v>264</v>
      </c>
      <c r="L6" s="262" t="s">
        <v>265</v>
      </c>
      <c r="M6" s="262"/>
      <c r="N6" s="263">
        <v>9</v>
      </c>
      <c r="O6" s="263">
        <v>1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COUNTIF(Punten!$E$120:'Punten'!$R$120,"&gt;0")</f>
        <v>9</v>
      </c>
      <c r="B8" s="269" t="str">
        <f t="shared" ref="B8:B15" si="0">IF(A8&gt;0,"W", " ")</f>
        <v>W</v>
      </c>
      <c r="C8" s="246" t="s">
        <v>158</v>
      </c>
      <c r="D8" s="249">
        <f>Punten!$C$121</f>
        <v>545.09300000000007</v>
      </c>
      <c r="E8" s="249"/>
      <c r="F8" s="270">
        <f>Wildert2!$AA$20</f>
        <v>2217</v>
      </c>
      <c r="G8" s="271"/>
      <c r="H8" s="272" t="str">
        <f>INDEX(Wildert2!$B$5:$B$19,MATCH(MAX(Wildert2!$AE$5:$AE$19),Wildert2!$AE$5:$AE$19,0))</f>
        <v>Peeters Hugo   (ns)</v>
      </c>
      <c r="I8" s="273"/>
      <c r="J8" s="274">
        <f>MAX(Wildert2!$AE$5:$AE$19)</f>
        <v>147.22222222222223</v>
      </c>
      <c r="K8" s="275">
        <f>VLOOKUP($H8,Wildert2!$B$5:$AC$19,28,0)</f>
        <v>53</v>
      </c>
      <c r="L8" s="275">
        <f>VLOOKUP($H8,Wildert2!$B$5:$AC$19,27,0)</f>
        <v>1</v>
      </c>
      <c r="M8" s="276"/>
      <c r="N8" s="249">
        <f>VLOOKUP($C8,Punten!$D$4:$R$139,1+$N$6,0)</f>
        <v>545.09299999999996</v>
      </c>
      <c r="O8" s="248">
        <f>VLOOKUP($C8,Punten!$C$4:$R$139,2+$O$6,0)</f>
        <v>65.339999999999989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COUNTIF(Punten!$E$68:'Punten'!$R$68,"&gt;0")</f>
        <v>9</v>
      </c>
      <c r="B9" s="269" t="str">
        <f t="shared" si="0"/>
        <v>W</v>
      </c>
      <c r="C9" s="246" t="s">
        <v>156</v>
      </c>
      <c r="D9" s="249">
        <f>Punten!$C$69</f>
        <v>532.04300000000001</v>
      </c>
      <c r="E9" s="249"/>
      <c r="F9" s="270">
        <f>Oudeglorie!$AA$20</f>
        <v>1682</v>
      </c>
      <c r="G9" s="271"/>
      <c r="H9" s="272" t="str">
        <f>INDEX(Oudeglorie!$B$5:$B$19,MATCH(MAX(Oudeglorie!$AE$5:$AE$19),Oudeglorie!$AE$5:$AE$19,0))</f>
        <v>Cleeren Guido</v>
      </c>
      <c r="I9" s="273"/>
      <c r="J9" s="274">
        <f>MAX(Oudeglorie!$AE$5:$AE$19)</f>
        <v>161.11111111111111</v>
      </c>
      <c r="K9" s="275">
        <f>VLOOKUP($H9,Oudeglorie!$B$5:$AC$19,28,0)</f>
        <v>29</v>
      </c>
      <c r="L9" s="275">
        <f>VLOOKUP($H9,Oudeglorie!$B$5:$AC$19,27,0)</f>
        <v>1</v>
      </c>
      <c r="M9" s="275"/>
      <c r="N9" s="249">
        <f>VLOOKUP($C9,Punten!$D$4:$R$139,1+$N$6,0)</f>
        <v>532.04300000000001</v>
      </c>
      <c r="O9" s="248">
        <f>VLOOKUP($C9,Punten!$C$4:$R$139,2+$O$6,0)</f>
        <v>60.441000000000003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COUNTIF(Punten!$E$18:'Punten'!$R$18,"&gt;0")</f>
        <v>9</v>
      </c>
      <c r="B10" s="269" t="str">
        <f t="shared" si="0"/>
        <v>W</v>
      </c>
      <c r="C10" s="246" t="s">
        <v>52</v>
      </c>
      <c r="D10" s="249">
        <f>Punten!$C$18</f>
        <v>530.50500000000011</v>
      </c>
      <c r="E10" s="249"/>
      <c r="F10" s="270">
        <f>Horendonk!$AA$20</f>
        <v>1439</v>
      </c>
      <c r="G10" s="271"/>
      <c r="H10" s="272" t="str">
        <f>INDEX(Horendonk!$B$5:$B$19,MATCH(MAX(Horendonk!$AE$5:$AE$19),Horendonk!$AE$5:$AE$19,0))</f>
        <v xml:space="preserve">Arnouts Louis   </v>
      </c>
      <c r="I10" s="273"/>
      <c r="J10" s="274">
        <f>MAX(Horendonk!$AE$5:$AE$19)</f>
        <v>126.11111111111111</v>
      </c>
      <c r="K10" s="275">
        <f>VLOOKUP($H10,Horendonk!$B$5:$AC$19,28,0)</f>
        <v>45.4</v>
      </c>
      <c r="L10" s="275">
        <f>VLOOKUP($H10,Horendonk!$B$5:$AC$19,27,0)</f>
        <v>5</v>
      </c>
      <c r="M10" s="275"/>
      <c r="N10" s="249">
        <f>VLOOKUP($C10,Punten!$D$4:$R$139,1+$N$6,0)</f>
        <v>530.50499999999988</v>
      </c>
      <c r="O10" s="248">
        <f>VLOOKUP($C10,Punten!$C$4:$R$139,2+$O$6,0)</f>
        <v>69.16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COUNTIF(Punten!$E$104:'Punten'!$R$104,"&gt;0")</f>
        <v>9</v>
      </c>
      <c r="B11" s="269" t="str">
        <f t="shared" si="0"/>
        <v>W</v>
      </c>
      <c r="C11" s="246" t="s">
        <v>54</v>
      </c>
      <c r="D11" s="249">
        <f>Punten!$C$105</f>
        <v>518.94900000000007</v>
      </c>
      <c r="E11" s="249"/>
      <c r="F11" s="270">
        <f>Wildert1!$AA$20</f>
        <v>2057</v>
      </c>
      <c r="G11" s="271"/>
      <c r="H11" s="272" t="str">
        <f>INDEX(Wildert1!$B$5:$B$19,MATCH(MAX(Wildert1!$AE$5:$AE$19),Wildert1!$AE$5:$AE$19,0))</f>
        <v xml:space="preserve">Kustermans Toon </v>
      </c>
      <c r="I11" s="273"/>
      <c r="J11" s="274">
        <f>MAX(Wildert1!$AE$5:$AE$19)</f>
        <v>115.35087719298245</v>
      </c>
      <c r="K11" s="275">
        <f>VLOOKUP($H11,Wildert1!$B$5:$AC$19,28,0)</f>
        <v>43.833333333333336</v>
      </c>
      <c r="L11" s="275">
        <f>VLOOKUP($H11,Wildert1!$B$5:$AC$19,27,0)</f>
        <v>6</v>
      </c>
      <c r="M11" s="275"/>
      <c r="N11" s="249">
        <f>VLOOKUP($C11,Punten!$D$4:$R$139,1+$N$6,0)</f>
        <v>518.94899999999996</v>
      </c>
      <c r="O11" s="248">
        <f>VLOOKUP($C11,Punten!$C$4:$R$139,2+$O$6,0)</f>
        <v>51.466000000000001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COUNTIF(Punten!$E$138:'Punten'!$R$138,"&gt;0")</f>
        <v>9</v>
      </c>
      <c r="B12" s="269" t="str">
        <f t="shared" si="0"/>
        <v>W</v>
      </c>
      <c r="C12" s="246" t="s">
        <v>85</v>
      </c>
      <c r="D12" s="249">
        <f>Punten!$C$139</f>
        <v>508.66699999999992</v>
      </c>
      <c r="E12" s="249"/>
      <c r="F12" s="270">
        <f>DeSpil!$AA$20</f>
        <v>1407</v>
      </c>
      <c r="G12" s="271"/>
      <c r="H12" s="272" t="str">
        <f>INDEX(DeSpil!$B$5:$B$19,MATCH(MAX(DeSpil!$AE$5:$AE$19),DeSpil!$AE$5:$AE$19,0))</f>
        <v>Elst Jan</v>
      </c>
      <c r="I12" s="273"/>
      <c r="J12" s="274">
        <f>MAX(DeSpil!$AE$5:$AE$19)</f>
        <v>120.23809523809523</v>
      </c>
      <c r="K12" s="275">
        <f>VLOOKUP($H12,DeSpil!$B$5:$AC$19,28,0)</f>
        <v>28.857142857142858</v>
      </c>
      <c r="L12" s="275">
        <f>VLOOKUP($H12,DeSpil!$B$5:$AC$19,27,0)</f>
        <v>7</v>
      </c>
      <c r="M12" s="275"/>
      <c r="N12" s="249">
        <f>VLOOKUP($C12,Punten!$D$4:$R$139,1+$N$6,0)</f>
        <v>508.66699999999992</v>
      </c>
      <c r="O12" s="248">
        <f>VLOOKUP($C12,Punten!$C$4:$R$139,2+$O$6,0)</f>
        <v>50.905999999999999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COUNTIF(Punten!$E$50:'Punten'!$R$50,"&gt;0")</f>
        <v>9</v>
      </c>
      <c r="B13" s="269" t="str">
        <f t="shared" si="0"/>
        <v>W</v>
      </c>
      <c r="C13" s="246" t="s">
        <v>124</v>
      </c>
      <c r="D13" s="249">
        <f>Punten!$C$51</f>
        <v>503.76300000000003</v>
      </c>
      <c r="E13" s="249"/>
      <c r="F13" s="270">
        <f>Kerkuilen!$AA$20</f>
        <v>2030</v>
      </c>
      <c r="G13" s="271"/>
      <c r="H13" s="272" t="str">
        <f>INDEX(Kerkuilen!$B$5:$B$19,MATCH(MAX(Kerkuilen!$AE$5:$AE$19),Kerkuilen!$AE$5:$AE$19,0))</f>
        <v>Antonissen Gust</v>
      </c>
      <c r="I13" s="273"/>
      <c r="J13" s="274">
        <f>MAX(Kerkuilen!$AE$5:$AE$19)</f>
        <v>124.26470588235294</v>
      </c>
      <c r="K13" s="275">
        <f>VLOOKUP($H13,Kerkuilen!$B$5:$AC$19,28,0)</f>
        <v>42.25</v>
      </c>
      <c r="L13" s="275">
        <f>VLOOKUP($H13,Kerkuilen!$B$5:$AC$19,27,0)</f>
        <v>4</v>
      </c>
      <c r="M13" s="275"/>
      <c r="N13" s="249">
        <f>VLOOKUP($C13,Punten!$D$4:$R$139,1+$N$6,0)</f>
        <v>503.76299999999992</v>
      </c>
      <c r="O13" s="248">
        <f>VLOOKUP($C13,Punten!$C$4:$R$139,2+$O$6,0)</f>
        <v>58.379000000000005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COUNTIF(Punten!$E$86:'Punten'!$R$86,"&gt;0")</f>
        <v>9</v>
      </c>
      <c r="B14" s="269" t="str">
        <f t="shared" si="0"/>
        <v>W</v>
      </c>
      <c r="C14" s="246" t="s">
        <v>145</v>
      </c>
      <c r="D14" s="249">
        <f>Punten!$C$87</f>
        <v>499.84999999999997</v>
      </c>
      <c r="E14" s="249"/>
      <c r="F14" s="270">
        <f>Putte!$AA$20</f>
        <v>1531</v>
      </c>
      <c r="G14" s="271"/>
      <c r="H14" s="272" t="str">
        <f>INDEX(Putte!$B$5:$B$19,MATCH(MAX(Putte!$AE$5:$AE$19),Putte!$AE$5:$AE$19,0))</f>
        <v>Plompen Dirk</v>
      </c>
      <c r="I14" s="273"/>
      <c r="J14" s="274">
        <f>MAX(Putte!$AE$5:$AE$19)</f>
        <v>112.24489795918366</v>
      </c>
      <c r="K14" s="275">
        <f>VLOOKUP($H14,Putte!$B$5:$AC$19,28,0)</f>
        <v>39.285714285714285</v>
      </c>
      <c r="L14" s="275">
        <f>VLOOKUP($H14,Putte!$B$5:$AC$19,27,0)</f>
        <v>7</v>
      </c>
      <c r="M14" s="275"/>
      <c r="N14" s="249">
        <f>VLOOKUP($C14,Punten!$D$4:$R$139,1+$N$6,0)</f>
        <v>499.85</v>
      </c>
      <c r="O14" s="248">
        <f>VLOOKUP($C14,Punten!$C$4:$R$139,2+$O$6,0)</f>
        <v>42.436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9</v>
      </c>
      <c r="B15" s="269" t="str">
        <f t="shared" si="0"/>
        <v>W</v>
      </c>
      <c r="C15" s="247" t="s">
        <v>216</v>
      </c>
      <c r="D15" s="249">
        <f>Punten!$C$32</f>
        <v>492.40000000000009</v>
      </c>
      <c r="E15" s="249"/>
      <c r="F15" s="270">
        <f>Nispen!$AA$20</f>
        <v>1188</v>
      </c>
      <c r="G15" s="271"/>
      <c r="H15" s="272" t="str">
        <f>INDEX(Nispen!$B$5:$B$19,MATCH(MAX(Nispen!$AE$5:$AE$19),Nispen!$AE$5:$AE$19,0))</f>
        <v>Martens Gerrit</v>
      </c>
      <c r="I15" s="273"/>
      <c r="J15" s="274">
        <f>MAX(Nispen!$AE$5:$AE$19)</f>
        <v>122.22222222222223</v>
      </c>
      <c r="K15" s="275">
        <f>VLOOKUP($H15,Nispen!$B$5:$AC$19,28,0)</f>
        <v>18.333333333333332</v>
      </c>
      <c r="L15" s="275">
        <f>VLOOKUP($H15,Nispen!$B$5:$AC$19,27,0)</f>
        <v>6</v>
      </c>
      <c r="M15" s="275"/>
      <c r="N15" s="249">
        <f>VLOOKUP($C15,Punten!$D$4:$R$139,1+$N$6,0)</f>
        <v>492.4</v>
      </c>
      <c r="O15" s="248">
        <f>VLOOKUP($C15,Punten!$C$4:$R$139,2+$O$6,0)</f>
        <v>44.450999999999993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202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heetProtection algorithmName="SHA-512" hashValue="pcmpxqttUhmK/c18BiJ/0WIUGe2ozj9+wcmDgvXwqf2J87WhEbjLGtJUyMSvte+9vkJ+TCg7bXlvx1WjZ3xszg==" saltValue="yf2B+V0A/nkO6cMtjsi2mQ==" spinCount="100000" sheet="1" objects="1" scenarios="1"/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81" priority="27" operator="equal">
      <formula>0</formula>
    </cfRule>
  </conditionalFormatting>
  <conditionalFormatting sqref="A3">
    <cfRule type="expression" dxfId="80" priority="12">
      <formula>$A$1&gt;2</formula>
    </cfRule>
    <cfRule type="expression" dxfId="79" priority="13">
      <formula>$A$1&lt;1</formula>
    </cfRule>
  </conditionalFormatting>
  <conditionalFormatting sqref="C8">
    <cfRule type="expression" dxfId="78" priority="9">
      <formula>$A$1&gt;=1</formula>
    </cfRule>
  </conditionalFormatting>
  <conditionalFormatting sqref="C15">
    <cfRule type="expression" dxfId="77" priority="8">
      <formula>$A$1&gt;=1</formula>
    </cfRule>
  </conditionalFormatting>
  <conditionalFormatting sqref="F6:M15 C7">
    <cfRule type="expression" dxfId="76" priority="47">
      <formula>$A$1&lt;1</formula>
    </cfRule>
  </conditionalFormatting>
  <conditionalFormatting sqref="F5:O15">
    <cfRule type="expression" dxfId="75" priority="6">
      <formula>$A$1&gt;2</formula>
    </cfRule>
  </conditionalFormatting>
  <conditionalFormatting sqref="H8:L15">
    <cfRule type="expression" dxfId="74" priority="1">
      <formula>$A$3=0</formula>
    </cfRule>
    <cfRule type="containsErrors" dxfId="73" priority="11">
      <formula>ISERROR(H8)</formula>
    </cfRule>
  </conditionalFormatting>
  <conditionalFormatting sqref="J8:J15">
    <cfRule type="cellIs" dxfId="72" priority="10" operator="equal">
      <formula>0</formula>
    </cfRule>
  </conditionalFormatting>
  <conditionalFormatting sqref="N5:O15">
    <cfRule type="expression" dxfId="71" priority="5">
      <formula>$A$1&lt;2</formula>
    </cfRule>
  </conditionalFormatting>
  <conditionalFormatting sqref="O8:O15">
    <cfRule type="expression" dxfId="70" priority="2">
      <formula>$O$6=0*(O8=MAX($O$8:$O$15))</formula>
    </cfRule>
    <cfRule type="expression" dxfId="69" priority="3">
      <formula>$A$1=0*(O8=MAX($O$8:$O$15))</formula>
    </cfRule>
    <cfRule type="expression" dxfId="68" priority="4">
      <formula>$A$1=2*(O8=MAX($O$8:$O$15))</formula>
    </cfRule>
    <cfRule type="expression" dxfId="67" priority="7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showRowColHeaders="0" topLeftCell="A57" zoomScaleNormal="100" workbookViewId="0">
      <selection activeCell="A14" sqref="A14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4</v>
      </c>
      <c r="B5" s="53" t="str">
        <f>Horendonk!$B5</f>
        <v>Ansems Ferre</v>
      </c>
      <c r="C5" s="55">
        <f>IF(Horendonk!$AA5=0," ",SUM(E5:R5))</f>
        <v>37.082999999999998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>
        <f>IF(Horendonk!Q5=(""),(""),ROUND(Horendonk!Q5/Horendonk!$O5*10,3))</f>
        <v>8.3330000000000002</v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7</v>
      </c>
      <c r="B8" s="53" t="str">
        <f>Horendonk!B8</f>
        <v>De Backer Jef</v>
      </c>
      <c r="C8" s="55">
        <f>IF(Horendonk!AA8=0," ",SUM(E8:R8))</f>
        <v>64.400000000000006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>
        <f>IF(Horendonk!Q8=(""),(""),ROUND(Horendonk!Q8/Horendonk!$O8*10,3))</f>
        <v>8.4</v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6</v>
      </c>
      <c r="B9" s="53" t="str">
        <f>Horendonk!B9</f>
        <v>Herreygers Remy</v>
      </c>
      <c r="C9" s="55">
        <f>IF(Horendonk!AA9=0," ",SUM(E9:R9))</f>
        <v>47.907000000000004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>
        <f>IF(Horendonk!Q9=(""),(""),ROUND(Horendonk!Q9/Horendonk!$O9*10,3))</f>
        <v>3.9529999999999998</v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5</v>
      </c>
      <c r="B10" s="53" t="str">
        <f>Horendonk!B10</f>
        <v>Maas Guy</v>
      </c>
      <c r="C10" s="55">
        <f>IF(Horendonk!AA10=0," ",SUM(E10:R10))</f>
        <v>46.5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>
        <f>IF(Horendonk!Q10=(""),(""),ROUND(Horendonk!Q10/Horendonk!$O10*10,3))</f>
        <v>13.5</v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6</v>
      </c>
      <c r="B11" s="53" t="str">
        <f>Horendonk!B11</f>
        <v xml:space="preserve">Nelen Johan       </v>
      </c>
      <c r="C11" s="55">
        <f>IF(Horendonk!AA11=0," ",SUM(E11:R11))</f>
        <v>41.176000000000002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>
        <f>IF(Horendonk!Q11=(""),(""),ROUND(Horendonk!Q11/Horendonk!$O11*10,3))</f>
        <v>3.5289999999999999</v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5</v>
      </c>
      <c r="B12" s="53" t="str">
        <f>Horendonk!B12</f>
        <v>Oerlemans Willy</v>
      </c>
      <c r="C12" s="55">
        <f>IF(Horendonk!AA12=0," ",SUM(E12:R12))</f>
        <v>51.072000000000003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4</v>
      </c>
      <c r="B13" s="53" t="str">
        <f>Horendonk!B13</f>
        <v>Siemons Jos</v>
      </c>
      <c r="C13" s="55">
        <f>IF(Horendonk!AA13=0," ",SUM(E13:R13))</f>
        <v>43.043999999999997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>
        <f>IF(Horendonk!Q13=(""),(""),ROUND(Horendonk!Q13/Horendonk!$O13*10,3))</f>
        <v>10</v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6</v>
      </c>
      <c r="B14" s="53" t="str">
        <f>Horendonk!B14</f>
        <v>van Aert André</v>
      </c>
      <c r="C14" s="55">
        <f>IF(Horendonk!AA14=0," ",SUM(E14:R14))</f>
        <v>72.082999999999998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62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98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3</v>
      </c>
      <c r="B16" s="53" t="str">
        <f>Horendonk!B16</f>
        <v>Vergouwen René</v>
      </c>
      <c r="C16" s="55">
        <f>IF(Horendonk!AA16=0," ",SUM(E16:R16))</f>
        <v>34.483000000000004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>
        <f t="shared" si="1"/>
        <v>47.715000000000003</v>
      </c>
      <c r="N17" s="132" t="str">
        <f t="shared" si="1"/>
        <v xml:space="preserve"> </v>
      </c>
      <c r="O17" s="132" t="str">
        <f t="shared" si="1"/>
        <v xml:space="preserve"> 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530.50500000000011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>
        <f t="shared" si="2"/>
        <v>530.50499999999988</v>
      </c>
      <c r="N18" s="133" t="str">
        <f t="shared" si="2"/>
        <v xml:space="preserve"> </v>
      </c>
      <c r="O18" s="133" t="str">
        <f t="shared" si="2"/>
        <v xml:space="preserve"> 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249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10</v>
      </c>
      <c r="B21" s="53" t="str">
        <f>Nispen!B5</f>
        <v>Kerstens Jac</v>
      </c>
      <c r="C21" s="55">
        <f>IF(Nispen!AA5=0," ",SUM(E21:R21))</f>
        <v>77.5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232">
        <f>IF(Nispen!Q5=(""),(""),ROUND(Nispen!Q5/Nispen!$O5*10,3))</f>
        <v>9.75</v>
      </c>
      <c r="N21" s="232">
        <f>IF(Nispen!R5=(""),(""),ROUND(Nispen!R5/Nispen!$O5*10,3))</f>
        <v>12.5</v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6</v>
      </c>
      <c r="B22" s="53" t="str">
        <f>Nispen!B6</f>
        <v>Martens Gerrit</v>
      </c>
      <c r="C22" s="55">
        <f>IF(Nispen!AA6=0," ",SUM(E22:R22))</f>
        <v>73.334000000000003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>
        <f>IF(Nispen!Q6=(""),(""),ROUND(Nispen!Q6/Nispen!$O6*10,3))</f>
        <v>10.667</v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6</v>
      </c>
      <c r="B23" s="53" t="str">
        <f>Nispen!B7</f>
        <v>Raats Antoon</v>
      </c>
      <c r="C23" s="55">
        <f>IF(Nispen!AA7=0," ",SUM(E23:R23))</f>
        <v>64.444000000000003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>
        <f>IF(Nispen!Q7=(""),(""),ROUND(Nispen!Q7/Nispen!$O7*10,3))</f>
        <v>20</v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6</v>
      </c>
      <c r="B24" s="53" t="str">
        <f>Nispen!B8</f>
        <v>Schrauwen Jeanne</v>
      </c>
      <c r="C24" s="55">
        <f>IF(Nispen!AA8=0," ",SUM(E24:R24))</f>
        <v>60.556999999999995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>
        <f>IF(Nispen!Q8=(""),(""),ROUND(Nispen!Q8/Nispen!$O8*10,3))</f>
        <v>12.778</v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8</v>
      </c>
      <c r="B27" s="53" t="str">
        <f>Nispen!B11</f>
        <v>Thielen Jef</v>
      </c>
      <c r="C27" s="55">
        <f>IF(Nispen!AA11=0," ",SUM(E27:R27))</f>
        <v>74.643000000000001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>
        <f>IF(Nispen!Q11=(""),(""),ROUND(Nispen!Q11/Nispen!$O11*10,3))</f>
        <v>10.356999999999999</v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6</v>
      </c>
      <c r="B28" s="53" t="str">
        <f>Nispen!B12</f>
        <v xml:space="preserve">Uijtdehaag Nico </v>
      </c>
      <c r="C28" s="55">
        <f>IF(Nispen!AA12=0," ",SUM(E28:R28))</f>
        <v>55.652999999999999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5</v>
      </c>
      <c r="B29" s="62" t="str">
        <f>Nispen!B13</f>
        <v>Van Turnhout Herman [NS 20]</v>
      </c>
      <c r="C29" s="55">
        <f>IF(Nispen!AA13=0," ",SUM(E29:R29))</f>
        <v>25.667000000000002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5</v>
      </c>
      <c r="B30" s="53" t="str">
        <f>Nispen!B14</f>
        <v xml:space="preserve">Van Wesel Jos </v>
      </c>
      <c r="C30" s="55">
        <f>IF(Nispen!AA14=0," ",SUM(E30:R30))</f>
        <v>48.635999999999996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>
        <f>IF(Nispen!Q14=(""),(""),ROUND(Nispen!Q14/Nispen!$O14*10,3))</f>
        <v>12.273</v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"),SUM(H21:H30))+N21</f>
        <v>63.666999999999994</v>
      </c>
      <c r="I31" s="60">
        <f>IF(SUM(I21:I30)=0,(" 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</f>
        <v>55.951000000000001</v>
      </c>
      <c r="M31" s="60">
        <f>IF(SUM(M21:M30)=0,(" "),SUM(M21:M30))</f>
        <v>75.825000000000003</v>
      </c>
      <c r="N31" s="60">
        <f>IF(SUM(N21:N30)=0,(" "),SUM(N21:N30))-N21</f>
        <v>0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492.40000000000009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416.57499999999999</v>
      </c>
      <c r="M32" s="64">
        <f t="shared" si="5"/>
        <v>492.4</v>
      </c>
      <c r="N32" s="64">
        <f t="shared" si="5"/>
        <v>492.4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4</v>
      </c>
      <c r="B35" s="53" t="str">
        <f>Kerkuilen!B5</f>
        <v>Antonissen Gust</v>
      </c>
      <c r="C35" s="55">
        <f>IF(Kerkuilen!AA5=0," ",SUM(E35:R35))</f>
        <v>49.705999999999996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>
        <f>IF(Kerkuilen!Q5=(""),(""),ROUND(Kerkuilen!Q5/Kerkuilen!$O5*10,3))</f>
        <v>12.647</v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6</v>
      </c>
      <c r="B36" s="53" t="str">
        <f>Kerkuilen!B6</f>
        <v>De Kaey Piet</v>
      </c>
      <c r="C36" s="55">
        <f>IF(Kerkuilen!AA6=0," ",SUM(E36:R36))</f>
        <v>70.61099999999999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>
        <f>IF(Kerkuilen!Q6=(""),(""),ROUND(Kerkuilen!Q6/Kerkuilen!$O6*10,3))</f>
        <v>10.407999999999999</v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6</v>
      </c>
      <c r="B38" s="53" t="str">
        <f>Kerkuilen!B8</f>
        <v>Hectors Hugo</v>
      </c>
      <c r="C38" s="55">
        <f>IF(Kerkuilen!AA8=0," ",SUM(E38:R38))</f>
        <v>58.889000000000003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4</v>
      </c>
      <c r="B39" s="53" t="str">
        <f>Kerkuilen!B9</f>
        <v>Jacobis Martin</v>
      </c>
      <c r="C39" s="55">
        <f>IF(Kerkuilen!AA9=0," ",SUM(E39:R39))</f>
        <v>44.815000000000005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>
        <f>IF(Kerkuilen!Q9=(""),(""),ROUND(Kerkuilen!Q9/Kerkuilen!$O9*10,3))</f>
        <v>9.6300000000000008</v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4</v>
      </c>
      <c r="B43" s="53" t="str">
        <f>Kerkuilen!B13</f>
        <v>Pleysier Luc</v>
      </c>
      <c r="C43" s="55">
        <f>IF(Kerkuilen!AA13=0," ",SUM(E43:R43))</f>
        <v>35.632000000000005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2</v>
      </c>
      <c r="B44" s="53" t="str">
        <f>Kerkuilen!B14</f>
        <v xml:space="preserve">Quick Gerard     </v>
      </c>
      <c r="C44" s="55">
        <f>IF(Kerkuilen!AA14=0," ",SUM(E44:R44))</f>
        <v>19.582999999999998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>
        <f>IF(Kerkuilen!Q14=(""),(""),ROUND(Kerkuilen!Q14/Kerkuilen!$O14*10,3))</f>
        <v>9.5830000000000002</v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>
        <f t="shared" si="6"/>
        <v>1</v>
      </c>
      <c r="B46" s="53" t="str">
        <f>Kerkuilen!B16</f>
        <v>Uytdewilligen Hubert</v>
      </c>
      <c r="C46" s="55">
        <f>IF(Kerkuilen!AA16=0," ",SUM(E46:R46))</f>
        <v>8.3330000000000002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>
        <f>IF(Kerkuilen!Q16=(""),(""),ROUND(Kerkuilen!Q16/Kerkuilen!$O16*10,3))</f>
        <v>8.3330000000000002</v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4</v>
      </c>
      <c r="B49" s="53" t="str">
        <f>Kerkuilen!B19</f>
        <v>Van Oers John</v>
      </c>
      <c r="C49" s="55">
        <f>IF(Kerkuilen!AA19=0," ",SUM(E49:R49))</f>
        <v>31.786000000000001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>
        <f>IF(Kerkuilen!Q19=(""),(""),ROUND(Kerkuilen!Q19/Kerkuilen!$O19*10,3))</f>
        <v>9.6430000000000007</v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>
        <f t="shared" si="7"/>
        <v>49.703999999999994</v>
      </c>
      <c r="M50" s="60">
        <f t="shared" si="7"/>
        <v>60.244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503.76300000000003</v>
      </c>
      <c r="D51" s="223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>
        <f t="shared" si="8"/>
        <v>443.51899999999995</v>
      </c>
      <c r="M51" s="64">
        <f t="shared" si="8"/>
        <v>503.76299999999992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5</v>
      </c>
      <c r="B55" s="100" t="str">
        <f>Oudeglorie!B6</f>
        <v xml:space="preserve">Beyers Jos   </v>
      </c>
      <c r="C55" s="55">
        <f>IF(Oudeglorie!AA6=0," ",SUM(E55:R55))</f>
        <v>56.25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>
        <f>IF(Oudeglorie!Q6=(""),(""),ROUND(Oudeglorie!Q6/Oudeglorie!$O6*10,3))</f>
        <v>7.5</v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5</v>
      </c>
      <c r="B56" s="100" t="str">
        <f>Oudeglorie!B7</f>
        <v>Beyers Roger</v>
      </c>
      <c r="C56" s="55">
        <f>IF(Oudeglorie!AA7=0," ",SUM(E56:R56))</f>
        <v>50.554000000000002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>
        <f>IF(Oudeglorie!Q7=(""),(""),ROUND(Oudeglorie!Q7/Oudeglorie!$O7*10,3))</f>
        <v>14.259</v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0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0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5</v>
      </c>
      <c r="B59" s="100" t="str">
        <f>Oudeglorie!B10</f>
        <v>Gommers Jac</v>
      </c>
      <c r="C59" s="55">
        <f>IF(Oudeglorie!AA10=0," ",SUM(E59:R59))</f>
        <v>67.5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>
        <f>IF(Oudeglorie!Q10=(""),(""),ROUND(Oudeglorie!Q10/Oudeglorie!$O10*10,3))</f>
        <v>7.5</v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5</v>
      </c>
      <c r="B60" s="100" t="str">
        <f>Oudeglorie!B11</f>
        <v>Jacobs Alfons</v>
      </c>
      <c r="C60" s="55">
        <f>IF(Oudeglorie!AA11=0," ",SUM(E60:R60))</f>
        <v>33.332999999999998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>
        <f>IF(Oudeglorie!Q11=(""),(""),ROUND(Oudeglorie!Q11/Oudeglorie!$O11*10,3))</f>
        <v>9.6300000000000008</v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3</v>
      </c>
      <c r="B63" s="212" t="str">
        <f>Oudeglorie!B14</f>
        <v>Nelen Jef  [NS 25]</v>
      </c>
      <c r="C63" s="55">
        <f>IF(Oudeglorie!AA14=0," ",SUM(E63:R63))</f>
        <v>28.400000000000002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98">
        <f>IF(Oudeglorie!Q14=(""),(""),ROUND(Oudeglorie!Q14/25*10,3))</f>
        <v>6.8</v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0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6</v>
      </c>
      <c r="B67" s="100" t="str">
        <f>Oudeglorie!B18</f>
        <v>Willemsen Willy</v>
      </c>
      <c r="C67" s="55">
        <f>IF(Oudeglorie!AA18=0," ",SUM(E67:R67))</f>
        <v>58.420999999999999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>
        <f>IF(Oudeglorie!Q18=(""),(""),ROUND(Oudeglorie!Q18/Oudeglorie!$O18*10,3))</f>
        <v>13.420999999999999</v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0">IF(SUM(E54:E67)=0,(" "),SUM(E54:E67))</f>
        <v>60.441000000000003</v>
      </c>
      <c r="F68" s="168">
        <f t="shared" si="10"/>
        <v>44.321999999999996</v>
      </c>
      <c r="G68" s="168">
        <f t="shared" si="10"/>
        <v>55.997</v>
      </c>
      <c r="H68" s="168">
        <f t="shared" si="10"/>
        <v>64.992999999999995</v>
      </c>
      <c r="I68" s="168">
        <f t="shared" si="10"/>
        <v>71.284000000000006</v>
      </c>
      <c r="J68" s="168">
        <f t="shared" si="10"/>
        <v>47.463000000000001</v>
      </c>
      <c r="K68" s="168">
        <f t="shared" si="10"/>
        <v>75.309000000000012</v>
      </c>
      <c r="L68" s="168">
        <f t="shared" si="10"/>
        <v>53.124000000000002</v>
      </c>
      <c r="M68" s="168">
        <f t="shared" si="10"/>
        <v>59.11</v>
      </c>
      <c r="N68" s="168" t="str">
        <f t="shared" si="10"/>
        <v xml:space="preserve"> </v>
      </c>
      <c r="O68" s="168" t="str">
        <f t="shared" si="10"/>
        <v xml:space="preserve"> </v>
      </c>
      <c r="P68" s="168" t="str">
        <f t="shared" si="10"/>
        <v xml:space="preserve"> </v>
      </c>
      <c r="Q68" s="168" t="str">
        <f t="shared" si="10"/>
        <v xml:space="preserve"> </v>
      </c>
      <c r="R68" s="168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532.04300000000001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1">IF(F68=(" "),(" "),E69+F68)</f>
        <v>104.76300000000001</v>
      </c>
      <c r="G69" s="169">
        <f t="shared" si="11"/>
        <v>160.76</v>
      </c>
      <c r="H69" s="169">
        <f t="shared" si="11"/>
        <v>225.75299999999999</v>
      </c>
      <c r="I69" s="169">
        <f t="shared" si="11"/>
        <v>297.03699999999998</v>
      </c>
      <c r="J69" s="169">
        <f t="shared" si="11"/>
        <v>344.5</v>
      </c>
      <c r="K69" s="169">
        <f t="shared" si="11"/>
        <v>419.80900000000003</v>
      </c>
      <c r="L69" s="169">
        <f t="shared" si="11"/>
        <v>472.93300000000005</v>
      </c>
      <c r="M69" s="169">
        <f t="shared" si="11"/>
        <v>532.04300000000001</v>
      </c>
      <c r="N69" s="169" t="str">
        <f t="shared" si="11"/>
        <v xml:space="preserve"> </v>
      </c>
      <c r="O69" s="169" t="str">
        <f t="shared" si="11"/>
        <v xml:space="preserve"> </v>
      </c>
      <c r="P69" s="169" t="str">
        <f t="shared" si="11"/>
        <v xml:space="preserve"> </v>
      </c>
      <c r="Q69" s="169" t="str">
        <f t="shared" si="11"/>
        <v xml:space="preserve"> </v>
      </c>
      <c r="R69" s="169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6</v>
      </c>
      <c r="B73" s="53" t="str">
        <f>Putte!B5</f>
        <v>Anthonissen Paul</v>
      </c>
      <c r="C73" s="55">
        <f>IF(Putte!AA5=0," ",SUM(E73:R73))</f>
        <v>62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>
        <f>IF(Putte!Q5=(""),(""),ROUND(Putte!Q5/Putte!$O5*10,3))</f>
        <v>8.75</v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6</v>
      </c>
      <c r="B74" s="53" t="str">
        <f>Putte!B6</f>
        <v>De Beukelaer Freddy</v>
      </c>
      <c r="C74" s="55">
        <f>IF(Putte!AA6=0," ",SUM(E74:R74))</f>
        <v>59.998999999999995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>
        <f>IF(Putte!Q6=(""),(""),ROUND(Putte!Q6/Putte!$O6*10,3))</f>
        <v>8.6359999999999992</v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9</v>
      </c>
      <c r="B75" s="53" t="str">
        <f>Putte!B7</f>
        <v xml:space="preserve">Eyckmans Luc  </v>
      </c>
      <c r="C75" s="55">
        <f>IF(Putte!AA7=0," ",SUM(E75:R75))</f>
        <v>92.856999999999999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>
        <f>IF(Putte!Q7=(""),(""),ROUND(Putte!Q7/Putte!$O7*10,3))</f>
        <v>9.5239999999999991</v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6</v>
      </c>
      <c r="B76" s="53" t="str">
        <f>Putte!B8</f>
        <v>Evers Henri</v>
      </c>
      <c r="C76" s="55">
        <f>IF(Putte!AA8=0," ",SUM(E76:R76))</f>
        <v>38.825000000000003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4</v>
      </c>
      <c r="B77" s="53" t="str">
        <f>Putte!B9</f>
        <v>Palickx Fons</v>
      </c>
      <c r="C77" s="55">
        <f>IF(Putte!AA9=0," ",SUM(E77:R77))</f>
        <v>29.100999999999996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>
        <f>IF(Putte!Q9=(""),(""),ROUND(Putte!Q9/Putte!$O9*10,3))</f>
        <v>7.1909999999999998</v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7</v>
      </c>
      <c r="B79" s="53" t="str">
        <f>Putte!B11</f>
        <v>Plompen Dirk</v>
      </c>
      <c r="C79" s="55">
        <f>IF(Putte!AA11=0," ",SUM(E79:R79))</f>
        <v>78.570999999999998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4</v>
      </c>
      <c r="B80" s="53" t="str">
        <f>Putte!B12</f>
        <v xml:space="preserve">Schaeken Pierre </v>
      </c>
      <c r="C80" s="55">
        <f>IF(Putte!AA12=0," ",SUM(E80:R80))</f>
        <v>42.777999999999999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>
        <f>IF(Putte!Q12=(""),(""),ROUND(Putte!Q12/Putte!$O12*10,3))</f>
        <v>7.2220000000000004</v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4</v>
      </c>
      <c r="B84" s="53" t="str">
        <f>Putte!B16</f>
        <v>Wolfcarius Jacques</v>
      </c>
      <c r="C84" s="55">
        <f>IF(Putte!AA16=0," ",SUM(E84:R84))</f>
        <v>37.692999999999998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>
        <f>IF(Putte!Q16=(""),(""),ROUND(Putte!Q16/Putte!$O16*10,3))</f>
        <v>5.3849999999999998</v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4">IF(SUM(E73:E85)=0,(" "),SUM(E73:E85))</f>
        <v>42.436</v>
      </c>
      <c r="F86" s="60">
        <f t="shared" si="14"/>
        <v>50.713999999999999</v>
      </c>
      <c r="G86" s="60">
        <f t="shared" si="14"/>
        <v>56.923000000000002</v>
      </c>
      <c r="H86" s="60">
        <f t="shared" si="14"/>
        <v>59.855000000000004</v>
      </c>
      <c r="I86" s="60">
        <f t="shared" si="14"/>
        <v>68.623999999999995</v>
      </c>
      <c r="J86" s="60">
        <f t="shared" si="14"/>
        <v>62.605000000000004</v>
      </c>
      <c r="K86" s="60">
        <f t="shared" si="14"/>
        <v>66.631</v>
      </c>
      <c r="L86" s="60">
        <f t="shared" si="14"/>
        <v>45.353999999999999</v>
      </c>
      <c r="M86" s="60">
        <f t="shared" si="14"/>
        <v>46.707999999999998</v>
      </c>
      <c r="N86" s="60" t="str">
        <f t="shared" si="14"/>
        <v xml:space="preserve"> </v>
      </c>
      <c r="O86" s="60" t="str">
        <f t="shared" si="14"/>
        <v xml:space="preserve"> </v>
      </c>
      <c r="P86" s="60" t="str">
        <f t="shared" si="14"/>
        <v xml:space="preserve"> </v>
      </c>
      <c r="Q86" s="60" t="str">
        <f t="shared" si="14"/>
        <v xml:space="preserve"> </v>
      </c>
      <c r="R86" s="60" t="str">
        <f t="shared" si="14"/>
        <v xml:space="preserve"> </v>
      </c>
    </row>
    <row r="87" spans="1:18" ht="15" customHeight="1">
      <c r="C87" s="65">
        <f>SUM(C73:C85)</f>
        <v>499.84999999999997</v>
      </c>
      <c r="D87" s="223" t="str">
        <f>B72</f>
        <v>SEN. PUTTE</v>
      </c>
      <c r="E87" s="64">
        <f>IF(E86=(" "),(" "),E86)</f>
        <v>42.436</v>
      </c>
      <c r="F87" s="64">
        <f t="shared" ref="F87:R87" si="15">IF(F86=(" "),(" "),E87+F86)</f>
        <v>93.15</v>
      </c>
      <c r="G87" s="64">
        <f t="shared" si="15"/>
        <v>150.07300000000001</v>
      </c>
      <c r="H87" s="64">
        <f t="shared" si="15"/>
        <v>209.928</v>
      </c>
      <c r="I87" s="64">
        <f t="shared" si="15"/>
        <v>278.55200000000002</v>
      </c>
      <c r="J87" s="64">
        <f t="shared" si="15"/>
        <v>341.15700000000004</v>
      </c>
      <c r="K87" s="64">
        <f t="shared" si="15"/>
        <v>407.78800000000001</v>
      </c>
      <c r="L87" s="64">
        <f t="shared" si="15"/>
        <v>453.142</v>
      </c>
      <c r="M87" s="64">
        <f t="shared" si="15"/>
        <v>499.85</v>
      </c>
      <c r="N87" s="133" t="str">
        <f t="shared" si="15"/>
        <v xml:space="preserve"> </v>
      </c>
      <c r="O87" s="64" t="str">
        <f t="shared" si="15"/>
        <v xml:space="preserve"> </v>
      </c>
      <c r="P87" s="64" t="str">
        <f t="shared" si="15"/>
        <v xml:space="preserve"> </v>
      </c>
      <c r="Q87" s="64" t="str">
        <f t="shared" si="15"/>
        <v xml:space="preserve"> </v>
      </c>
      <c r="R87" s="64" t="str">
        <f t="shared" si="15"/>
        <v xml:space="preserve"> </v>
      </c>
    </row>
    <row r="88" spans="1:18" ht="25.2" customHeight="1"/>
    <row r="89" spans="1:18" ht="15" customHeight="1">
      <c r="A89" s="52">
        <f>IF(SUM(E90:R90)=0,(" "),COUNTIF(E90:R90,"&gt;0"))</f>
        <v>3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3</v>
      </c>
      <c r="B90" s="53" t="str">
        <f>Wildert1!B5</f>
        <v>Adriaansen Jan</v>
      </c>
      <c r="C90" s="55">
        <f>IF(Wildert1!AA5=0," ",SUM(E90:R90))</f>
        <v>27.646999999999998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6">IF(SUM(E91:R91)=0,(" "),COUNTIF(E91:R91,"&gt;0"))</f>
        <v>7</v>
      </c>
      <c r="B91" s="53" t="str">
        <f>Wildert1!B6</f>
        <v>Brouwers Adri</v>
      </c>
      <c r="C91" s="55">
        <f>IF(Wildert1!AA6=0," ",SUM(E91:R91))</f>
        <v>70.277999999999992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>
        <f>IF(Wildert1!Q6=(""),(""),ROUND(Wildert1!Q6/Wildert1!$O6*10,3))</f>
        <v>9.1669999999999998</v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6"/>
        <v>5</v>
      </c>
      <c r="B92" s="62" t="str">
        <f>Wildert1!B7</f>
        <v>Buijk Jan [NS 55]</v>
      </c>
      <c r="C92" s="55">
        <f>IF(Wildert1!AA7=0," ",SUM(E92:R92))</f>
        <v>51.441000000000003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>
        <f>IF(Wildert1!Q7=(""),(""),ROUND(Wildert1!Q7/Wildert1!$O7*10,3))</f>
        <v>8.3610000000000007</v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6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6"/>
        <v>6</v>
      </c>
      <c r="B94" s="53" t="str">
        <f>Wildert1!B9</f>
        <v>Dries Louis</v>
      </c>
      <c r="C94" s="55">
        <f>IF(Wildert1!AA9=0," ",SUM(E94:R94))</f>
        <v>60.689000000000007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6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6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6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6"/>
        <v>6</v>
      </c>
      <c r="B98" s="53" t="str">
        <f>Wildert1!B13</f>
        <v xml:space="preserve">Kustermans Toon </v>
      </c>
      <c r="C98" s="55">
        <f>IF(Wildert1!AA13=0," ",SUM(E98:R98))</f>
        <v>69.210999999999999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>
        <f>IF(Wildert1!Q13=(""),(""),ROUND(Wildert1!Q13/Wildert1!$O13*10,3))</f>
        <v>9.7370000000000001</v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6"/>
        <v>8</v>
      </c>
      <c r="B99" s="53" t="str">
        <f>Wildert1!B14</f>
        <v>Sarra-Ribo Jef</v>
      </c>
      <c r="C99" s="55">
        <f>IF(Wildert1!AA14=0," ",SUM(E99:R99))</f>
        <v>65.057000000000002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>
        <f>IF(Wildert1!Q14=(""),(""),ROUND(Wildert1!Q14/Wildert1!$O14*10,3))</f>
        <v>5.8620000000000001</v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6"/>
        <v>4</v>
      </c>
      <c r="B100" s="53" t="str">
        <f>Wildert1!B15</f>
        <v>Sas Ronny</v>
      </c>
      <c r="C100" s="55">
        <f>IF(Wildert1!AA15=0," ",SUM(E100:R100))</f>
        <v>34.838999999999999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>
        <f>IF(Wildert1!Q15=(""),(""),ROUND(Wildert1!Q15/Wildert1!$O15*10,3))</f>
        <v>5.484</v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6"/>
        <v>3</v>
      </c>
      <c r="B101" s="53" t="str">
        <f>Wildert1!B16</f>
        <v>Thijs Jef</v>
      </c>
      <c r="C101" s="55">
        <f>IF(Wildert1!AA16=0," ",SUM(E101:R101))</f>
        <v>33.334000000000003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>
        <f>IF(Wildert1!Q16=(""),(""),ROUND(Wildert1!Q16/Wildert1!$O16*10,3))</f>
        <v>10</v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6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6"/>
        <v>1</v>
      </c>
      <c r="B103" s="62" t="str">
        <f>Wildert1!B18</f>
        <v>Seymus Eddy (ns)</v>
      </c>
      <c r="C103" s="55">
        <f>IF(Wildert1!AA18=0," ",SUM(E103:R103))</f>
        <v>5.1429999999999998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7">IF(SUM(E90:E103)=0,(" "),SUM(E90:E103))</f>
        <v>51.466000000000001</v>
      </c>
      <c r="F104" s="60">
        <f t="shared" si="17"/>
        <v>69.52600000000001</v>
      </c>
      <c r="G104" s="60">
        <f t="shared" si="17"/>
        <v>60.034000000000006</v>
      </c>
      <c r="H104" s="60">
        <f t="shared" si="17"/>
        <v>46.199999999999996</v>
      </c>
      <c r="I104" s="60">
        <f t="shared" si="17"/>
        <v>72.231999999999999</v>
      </c>
      <c r="J104" s="60">
        <f t="shared" si="17"/>
        <v>61.281999999999996</v>
      </c>
      <c r="K104" s="60">
        <f t="shared" si="17"/>
        <v>55.336000000000006</v>
      </c>
      <c r="L104" s="60">
        <f t="shared" si="17"/>
        <v>54.262</v>
      </c>
      <c r="M104" s="60">
        <f t="shared" si="17"/>
        <v>48.611000000000004</v>
      </c>
      <c r="N104" s="132" t="str">
        <f t="shared" si="17"/>
        <v xml:space="preserve"> </v>
      </c>
      <c r="O104" s="60" t="str">
        <f t="shared" si="17"/>
        <v xml:space="preserve"> </v>
      </c>
      <c r="P104" s="60" t="str">
        <f t="shared" si="17"/>
        <v xml:space="preserve"> </v>
      </c>
      <c r="Q104" s="60" t="str">
        <f t="shared" si="17"/>
        <v xml:space="preserve"> </v>
      </c>
      <c r="R104" s="60" t="str">
        <f t="shared" si="17"/>
        <v xml:space="preserve"> </v>
      </c>
    </row>
    <row r="105" spans="1:18" ht="15" customHeight="1">
      <c r="C105" s="65">
        <f>SUM(C90:C103)</f>
        <v>518.94900000000007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8">IF(F104=(" "),(" "),E105+F104)</f>
        <v>120.99200000000002</v>
      </c>
      <c r="G105" s="64">
        <f t="shared" si="18"/>
        <v>181.02600000000001</v>
      </c>
      <c r="H105" s="64">
        <f t="shared" si="18"/>
        <v>227.226</v>
      </c>
      <c r="I105" s="64">
        <f t="shared" si="18"/>
        <v>299.45799999999997</v>
      </c>
      <c r="J105" s="64">
        <f t="shared" si="18"/>
        <v>360.73999999999995</v>
      </c>
      <c r="K105" s="64">
        <f t="shared" si="18"/>
        <v>416.07599999999996</v>
      </c>
      <c r="L105" s="64">
        <f t="shared" si="18"/>
        <v>470.33799999999997</v>
      </c>
      <c r="M105" s="64">
        <f t="shared" si="18"/>
        <v>518.94899999999996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6</v>
      </c>
      <c r="B108" s="53" t="str">
        <f>Wildert2!B5</f>
        <v xml:space="preserve">Aernouts Johan  </v>
      </c>
      <c r="C108" s="55">
        <f>IF(Wildert2!AA5=0," ",SUM(E108:R108))</f>
        <v>50.869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>
        <f>IF(Wildert2!Q5=(""),(""),ROUND(Wildert2!Q5/Wildert2!$O5*10,3))</f>
        <v>8.2609999999999992</v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9">IF(SUM(E109:R109)=0,(" "),COUNTIF(E109:R109,"&gt;0"))</f>
        <v>7</v>
      </c>
      <c r="B109" s="53" t="str">
        <f>Wildert2!B6</f>
        <v>Eestermans René</v>
      </c>
      <c r="C109" s="55">
        <f>IF(Wildert2!AA6=0," ",SUM(E109:R109))</f>
        <v>87.930999999999997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>
        <f>IF(Wildert2!Q6=(""),(""),ROUND(Wildert2!Q6/Wildert2!$O6*10,3))</f>
        <v>12.759</v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9"/>
        <v>5</v>
      </c>
      <c r="B110" s="53" t="str">
        <f>Wildert2!B7</f>
        <v xml:space="preserve">Eijckholt Adrie              </v>
      </c>
      <c r="C110" s="55">
        <f>IF(Wildert2!AA7=0," ",SUM(E110:R110))</f>
        <v>44.324999999999996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>
        <f>IF(Wildert2!Q7=(""),(""),ROUND(Wildert2!Q7/Wildert2!$O7*10,3))</f>
        <v>7.8380000000000001</v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9"/>
        <v>7</v>
      </c>
      <c r="B111" s="53" t="str">
        <f>Wildert2!B8</f>
        <v>Francken Robert</v>
      </c>
      <c r="C111" s="55">
        <f>IF(Wildert2!AA8=0," ",SUM(E111:R111))</f>
        <v>73.48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>
        <f>IF(Wildert2!Q8=(""),(""),ROUND(Wildert2!Q8/Wildert2!$O8*10,3))</f>
        <v>11.522</v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9"/>
        <v>5</v>
      </c>
      <c r="B112" s="53" t="str">
        <f>Wildert2!B9</f>
        <v xml:space="preserve">Leys Herman </v>
      </c>
      <c r="C112" s="55">
        <f>IF(Wildert2!AA9=0," ",SUM(E112:R112))</f>
        <v>47.408000000000001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>
        <f>IF(Wildert2!Q9=(""),(""),ROUND(Wildert2!Q9/Wildert2!$O9*10,3))</f>
        <v>13.333</v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9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9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9"/>
        <v>7</v>
      </c>
      <c r="B115" s="62" t="str">
        <f>Wildert2!B12</f>
        <v>Scholtis Vic [NS 49]</v>
      </c>
      <c r="C115" s="55">
        <f>IF(Wildert2!AA12=0," ",SUM(E115:R115))</f>
        <v>68.921999999999997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>
        <f>IF(Wildert2!Q12=(""),(""),ROUND(Wildert2!Q12/Wildert2!$O12*10,3))</f>
        <v>16.428999999999998</v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9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9"/>
        <v>4</v>
      </c>
      <c r="B117" s="53" t="str">
        <f>Wildert2!B14</f>
        <v xml:space="preserve">Van Ginneken Ludo </v>
      </c>
      <c r="C117" s="55">
        <f>IF(Wildert2!AA14=0," ",SUM(E117:R117))</f>
        <v>39.524000000000001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9"/>
        <v>4</v>
      </c>
      <c r="B118" s="53" t="str">
        <f>Wildert2!B15</f>
        <v>Van Hooydonck Swa</v>
      </c>
      <c r="C118" s="55">
        <f>IF(Wildert2!AA15=0," ",SUM(E118:R118))</f>
        <v>49.641999999999996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9"/>
        <v>6</v>
      </c>
      <c r="B119" s="53" t="str">
        <f>Wildert2!B16</f>
        <v>Wiericx Herman</v>
      </c>
      <c r="C119" s="55">
        <f>IF(Wildert2!AA16=0," ",SUM(E119:R119))</f>
        <v>51.915000000000006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0">IF(SUM(E108:E119)=0,(" "),SUM(E108:E119))</f>
        <v>65.339999999999989</v>
      </c>
      <c r="F120" s="60">
        <f t="shared" si="20"/>
        <v>59.665000000000006</v>
      </c>
      <c r="G120" s="60">
        <f t="shared" si="20"/>
        <v>63.081000000000003</v>
      </c>
      <c r="H120" s="60">
        <f t="shared" si="20"/>
        <v>65.992999999999995</v>
      </c>
      <c r="I120" s="60">
        <f t="shared" si="20"/>
        <v>43.373000000000005</v>
      </c>
      <c r="J120" s="60">
        <f t="shared" si="20"/>
        <v>46.591999999999999</v>
      </c>
      <c r="K120" s="60">
        <f t="shared" si="20"/>
        <v>63.543999999999997</v>
      </c>
      <c r="L120" s="60">
        <f t="shared" si="20"/>
        <v>67.363</v>
      </c>
      <c r="M120" s="60">
        <f t="shared" si="20"/>
        <v>70.141999999999996</v>
      </c>
      <c r="N120" s="132" t="str">
        <f t="shared" si="20"/>
        <v xml:space="preserve"> </v>
      </c>
      <c r="O120" s="132" t="str">
        <f t="shared" si="20"/>
        <v xml:space="preserve"> </v>
      </c>
      <c r="P120" s="132" t="str">
        <f t="shared" si="20"/>
        <v xml:space="preserve"> </v>
      </c>
      <c r="Q120" s="132" t="str">
        <f t="shared" si="20"/>
        <v xml:space="preserve"> </v>
      </c>
      <c r="R120" s="132" t="str">
        <f t="shared" si="20"/>
        <v xml:space="preserve"> </v>
      </c>
    </row>
    <row r="121" spans="1:22" ht="15" customHeight="1">
      <c r="A121" s="61"/>
      <c r="B121" s="62"/>
      <c r="C121" s="65">
        <f>SUM(C108:C119)</f>
        <v>545.09300000000007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1">IF(F120=(" "),(" "),E121+F120)</f>
        <v>125.005</v>
      </c>
      <c r="G121" s="64">
        <f t="shared" si="21"/>
        <v>188.08600000000001</v>
      </c>
      <c r="H121" s="64">
        <f t="shared" si="21"/>
        <v>254.07900000000001</v>
      </c>
      <c r="I121" s="64">
        <f t="shared" si="21"/>
        <v>297.452</v>
      </c>
      <c r="J121" s="64">
        <f t="shared" si="21"/>
        <v>344.04399999999998</v>
      </c>
      <c r="K121" s="64">
        <f t="shared" si="21"/>
        <v>407.58799999999997</v>
      </c>
      <c r="L121" s="64">
        <f t="shared" si="21"/>
        <v>474.95099999999996</v>
      </c>
      <c r="M121" s="64">
        <f t="shared" si="21"/>
        <v>545.09299999999996</v>
      </c>
      <c r="N121" s="133" t="str">
        <f t="shared" si="21"/>
        <v xml:space="preserve"> </v>
      </c>
      <c r="O121" s="133" t="str">
        <f t="shared" si="21"/>
        <v xml:space="preserve"> </v>
      </c>
      <c r="P121" s="133" t="str">
        <f t="shared" si="21"/>
        <v xml:space="preserve"> </v>
      </c>
      <c r="Q121" s="133" t="str">
        <f t="shared" si="21"/>
        <v xml:space="preserve"> </v>
      </c>
      <c r="R121" s="133" t="str">
        <f t="shared" si="21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6</v>
      </c>
      <c r="B126" s="53" t="str">
        <f>DeSpil!B5</f>
        <v>Dekkers Kees</v>
      </c>
      <c r="C126" s="55">
        <f>IF(DeSpil!AA5=0," ",SUM(E126:R126))</f>
        <v>53.599999999999994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>
        <f>IF(DeSpil!Q5=(""),(""),ROUND(DeSpil!Q5/DeSpil!$O5*10,3))</f>
        <v>8.8000000000000007</v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2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2"/>
        <v>7</v>
      </c>
      <c r="B128" s="53" t="str">
        <f>DeSpil!B7</f>
        <v>Elst Jan</v>
      </c>
      <c r="C128" s="55">
        <f>IF(DeSpil!AA7=0," ",SUM(E128:R128))</f>
        <v>84.167000000000002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>
        <f>IF(DeSpil!Q7=(""),(""),ROUND(DeSpil!Q7/DeSpil!$O7*10,3))</f>
        <v>10</v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2"/>
        <v>5</v>
      </c>
      <c r="B129" s="53" t="str">
        <f>DeSpil!B8</f>
        <v>Huijsmans Marion</v>
      </c>
      <c r="C129" s="55">
        <f>IF(DeSpil!AA8=0," ",SUM(E129:R129))</f>
        <v>46.097999999999999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>
        <f>IF(DeSpil!Q8=(""),(""),ROUND(DeSpil!Q8/DeSpil!$O8*10,3))</f>
        <v>15.366</v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2"/>
        <v>5</v>
      </c>
      <c r="B130" s="62" t="str">
        <f>DeSpil!B9</f>
        <v>Kerstens Ad [NS 31]</v>
      </c>
      <c r="C130" s="55">
        <f>IF(DeSpil!AA9=0," ",SUM(E130:R130))</f>
        <v>47.847999999999999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2"/>
        <v>4</v>
      </c>
      <c r="B131" s="62" t="str">
        <f>DeSpil!B10</f>
        <v>Meijers Jan [NS 23]</v>
      </c>
      <c r="C131" s="55">
        <f>IF(DeSpil!AA10=0," ",SUM(E131:R131))</f>
        <v>36.701999999999998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>
        <f>IF(DeSpil!Q10=(""),(""),ROUND(DeSpil!Q10/DeSpil!$O10*10,3))</f>
        <v>5.8330000000000002</v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2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2"/>
        <v>4</v>
      </c>
      <c r="B133" s="53" t="str">
        <f>DeSpil!B12</f>
        <v xml:space="preserve">Stok Adrie            </v>
      </c>
      <c r="C133" s="55">
        <f>IF(DeSpil!AA12=0," ",SUM(E133:R133))</f>
        <v>41.795000000000002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>
        <f>IF(DeSpil!Q12=(""),(""),ROUND(DeSpil!Q12/DeSpil!$O12*10,3))</f>
        <v>13.59</v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2"/>
        <v>5</v>
      </c>
      <c r="B134" s="53" t="str">
        <f>DeSpil!B13</f>
        <v>Uitdewillegen Harry</v>
      </c>
      <c r="C134" s="55">
        <f>IF(DeSpil!AA13=0," ",SUM(E134:R134))</f>
        <v>49.643000000000001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2"/>
        <v>5</v>
      </c>
      <c r="B135" s="53" t="str">
        <f>DeSpil!B14</f>
        <v>Van Gastel Jac</v>
      </c>
      <c r="C135" s="213">
        <f>IF(DeSpil!AA14=0," ",SUM(E135:R135))</f>
        <v>50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>
        <f>IF(DeSpil!Q14=(""),(""),ROUND(DeSpil!Q14/DeSpil!$O14*10,3))</f>
        <v>10</v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5</v>
      </c>
      <c r="B136" s="53" t="str">
        <f>DeSpil!B15</f>
        <v xml:space="preserve">Van Limpt Wim </v>
      </c>
      <c r="C136" s="213">
        <f>IF(DeSpil!AA15=0," ",SUM(E136:R136))</f>
        <v>43.635999999999996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3">IF(SUM(E126:E136)=0,(" "),SUM(E126:E136))</f>
        <v>50.905999999999999</v>
      </c>
      <c r="F138" s="60">
        <f t="shared" si="23"/>
        <v>43.375999999999991</v>
      </c>
      <c r="G138" s="60">
        <f t="shared" si="23"/>
        <v>59.792999999999992</v>
      </c>
      <c r="H138" s="60">
        <f t="shared" si="23"/>
        <v>51.897999999999996</v>
      </c>
      <c r="I138" s="60">
        <f t="shared" si="23"/>
        <v>58.472999999999999</v>
      </c>
      <c r="J138" s="60">
        <f t="shared" si="23"/>
        <v>60.55899999999999</v>
      </c>
      <c r="K138" s="60">
        <f t="shared" si="23"/>
        <v>57.513000000000005</v>
      </c>
      <c r="L138" s="60">
        <f t="shared" si="23"/>
        <v>62.559999999999995</v>
      </c>
      <c r="M138" s="60">
        <f>IF(SUM(M126:M136)=0,(" "),SUM(M126:M136))</f>
        <v>63.588999999999999</v>
      </c>
      <c r="N138" s="60" t="str">
        <f>IF(SUM(N126:N136)=0,(" "),SUM(N126:N136))</f>
        <v xml:space="preserve"> </v>
      </c>
      <c r="O138" s="60" t="str">
        <f t="shared" si="23"/>
        <v xml:space="preserve"> </v>
      </c>
      <c r="P138" s="60" t="str">
        <f t="shared" si="23"/>
        <v xml:space="preserve"> </v>
      </c>
      <c r="Q138" s="60" t="str">
        <f t="shared" si="23"/>
        <v xml:space="preserve"> </v>
      </c>
      <c r="R138" s="60" t="str">
        <f t="shared" si="23"/>
        <v xml:space="preserve"> </v>
      </c>
    </row>
    <row r="139" spans="1:22" s="66" customFormat="1" ht="15" customHeight="1">
      <c r="A139" s="172"/>
      <c r="B139" s="173"/>
      <c r="C139" s="65">
        <f>SUM(C126:C137)</f>
        <v>508.66699999999992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4">IF(F138=(" "),(" "),E139+F138)</f>
        <v>94.281999999999982</v>
      </c>
      <c r="G139" s="64">
        <f t="shared" si="24"/>
        <v>154.07499999999999</v>
      </c>
      <c r="H139" s="64">
        <f t="shared" si="24"/>
        <v>205.97299999999998</v>
      </c>
      <c r="I139" s="64">
        <f t="shared" si="24"/>
        <v>264.44599999999997</v>
      </c>
      <c r="J139" s="64">
        <f t="shared" si="24"/>
        <v>325.00499999999994</v>
      </c>
      <c r="K139" s="64">
        <f t="shared" si="24"/>
        <v>382.51799999999992</v>
      </c>
      <c r="L139" s="64">
        <f t="shared" si="24"/>
        <v>445.07799999999992</v>
      </c>
      <c r="M139" s="64">
        <f t="shared" si="24"/>
        <v>508.66699999999992</v>
      </c>
      <c r="N139" s="64" t="str">
        <f t="shared" si="24"/>
        <v xml:space="preserve"> </v>
      </c>
      <c r="O139" s="64" t="str">
        <f t="shared" si="24"/>
        <v xml:space="preserve"> </v>
      </c>
      <c r="P139" s="64" t="str">
        <f t="shared" si="24"/>
        <v xml:space="preserve"> </v>
      </c>
      <c r="Q139" s="64" t="str">
        <f t="shared" si="24"/>
        <v xml:space="preserve"> </v>
      </c>
      <c r="R139" s="64" t="str">
        <f t="shared" si="24"/>
        <v xml:space="preserve"> </v>
      </c>
    </row>
    <row r="140" spans="1:22" ht="24" customHeight="1"/>
    <row r="149" spans="1:18" ht="15" customHeight="1">
      <c r="A149" s="52" t="str">
        <f t="shared" ref="A149:A160" si="25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5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5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5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5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5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5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5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5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5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5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5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6">IF(SUM(G150:G160)=0,(" "),SUM(G150:G161))</f>
        <v xml:space="preserve"> </v>
      </c>
      <c r="H162" s="60" t="str">
        <f t="shared" si="26"/>
        <v xml:space="preserve"> </v>
      </c>
      <c r="I162" s="60" t="str">
        <f t="shared" si="26"/>
        <v xml:space="preserve"> </v>
      </c>
      <c r="J162" s="60" t="str">
        <f t="shared" si="26"/>
        <v xml:space="preserve"> </v>
      </c>
      <c r="K162" s="60" t="str">
        <f t="shared" si="26"/>
        <v xml:space="preserve"> </v>
      </c>
      <c r="L162" s="60" t="str">
        <f t="shared" si="26"/>
        <v xml:space="preserve"> </v>
      </c>
      <c r="M162" s="60" t="str">
        <f t="shared" si="26"/>
        <v xml:space="preserve"> </v>
      </c>
      <c r="N162" s="132" t="str">
        <f t="shared" si="26"/>
        <v xml:space="preserve"> </v>
      </c>
      <c r="O162" s="60" t="str">
        <f t="shared" si="26"/>
        <v xml:space="preserve"> </v>
      </c>
      <c r="P162" s="60" t="str">
        <f t="shared" si="26"/>
        <v xml:space="preserve"> </v>
      </c>
      <c r="Q162" s="60" t="str">
        <f t="shared" si="26"/>
        <v xml:space="preserve"> </v>
      </c>
      <c r="R162" s="60" t="str">
        <f t="shared" si="26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7">IF(G162=(" "),(" "),F163+G162)</f>
        <v xml:space="preserve"> </v>
      </c>
      <c r="H163" s="64" t="str">
        <f t="shared" si="27"/>
        <v xml:space="preserve"> </v>
      </c>
      <c r="I163" s="64" t="str">
        <f t="shared" si="27"/>
        <v xml:space="preserve"> </v>
      </c>
      <c r="J163" s="64" t="str">
        <f t="shared" si="27"/>
        <v xml:space="preserve"> </v>
      </c>
      <c r="K163" s="64" t="str">
        <f t="shared" si="27"/>
        <v xml:space="preserve"> </v>
      </c>
      <c r="L163" s="64" t="str">
        <f>IF(L162=(" "),(" "),K163+L162)</f>
        <v xml:space="preserve"> </v>
      </c>
      <c r="M163" s="64" t="str">
        <f t="shared" si="27"/>
        <v xml:space="preserve"> </v>
      </c>
      <c r="N163" s="133" t="str">
        <f t="shared" si="27"/>
        <v xml:space="preserve"> </v>
      </c>
      <c r="O163" s="64" t="str">
        <f t="shared" si="27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8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8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8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8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8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8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8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8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8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8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8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8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9">IF(SUM(G166:G176)=0,(" "),SUM(G166:G177))</f>
        <v xml:space="preserve"> </v>
      </c>
      <c r="H178" s="60" t="str">
        <f t="shared" si="29"/>
        <v xml:space="preserve"> </v>
      </c>
      <c r="I178" s="60" t="str">
        <f t="shared" si="29"/>
        <v xml:space="preserve"> </v>
      </c>
      <c r="J178" s="60" t="str">
        <f t="shared" si="29"/>
        <v xml:space="preserve"> </v>
      </c>
      <c r="K178" s="60" t="str">
        <f t="shared" si="29"/>
        <v xml:space="preserve"> </v>
      </c>
      <c r="L178" s="60" t="str">
        <f t="shared" si="29"/>
        <v xml:space="preserve"> </v>
      </c>
      <c r="M178" s="60" t="str">
        <f t="shared" si="29"/>
        <v xml:space="preserve"> </v>
      </c>
      <c r="N178" s="132" t="str">
        <f t="shared" si="29"/>
        <v xml:space="preserve"> </v>
      </c>
      <c r="O178" s="60" t="str">
        <f t="shared" si="29"/>
        <v xml:space="preserve"> </v>
      </c>
      <c r="P178" s="60" t="str">
        <f t="shared" si="29"/>
        <v xml:space="preserve"> </v>
      </c>
      <c r="Q178" s="60" t="str">
        <f t="shared" si="29"/>
        <v xml:space="preserve"> </v>
      </c>
      <c r="R178" s="60" t="str">
        <f t="shared" si="29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0">IF(G178=(" "),(" "),F179+G178)</f>
        <v xml:space="preserve"> </v>
      </c>
      <c r="H179" s="64" t="str">
        <f t="shared" si="30"/>
        <v xml:space="preserve"> </v>
      </c>
      <c r="I179" s="64" t="str">
        <f t="shared" si="30"/>
        <v xml:space="preserve"> </v>
      </c>
      <c r="J179" s="64" t="str">
        <f t="shared" si="30"/>
        <v xml:space="preserve"> </v>
      </c>
      <c r="K179" s="64" t="str">
        <f t="shared" si="30"/>
        <v xml:space="preserve"> </v>
      </c>
      <c r="L179" s="64" t="str">
        <f>IF(L178=(" "),(" "),K179+L178)</f>
        <v xml:space="preserve"> </v>
      </c>
      <c r="M179" s="64" t="str">
        <f t="shared" si="30"/>
        <v xml:space="preserve"> </v>
      </c>
      <c r="N179" s="133" t="str">
        <f t="shared" si="30"/>
        <v xml:space="preserve"> </v>
      </c>
      <c r="O179" s="64" t="str">
        <f t="shared" si="30"/>
        <v xml:space="preserve"> </v>
      </c>
      <c r="P179" s="64" t="str">
        <f t="shared" si="30"/>
        <v xml:space="preserve"> </v>
      </c>
      <c r="Q179" s="64" t="str">
        <f t="shared" si="30"/>
        <v xml:space="preserve"> </v>
      </c>
      <c r="R179" s="64" t="str">
        <f t="shared" si="30"/>
        <v xml:space="preserve"> </v>
      </c>
    </row>
    <row r="181" spans="1:18" ht="15" customHeight="1">
      <c r="A181" s="52" t="str">
        <f t="shared" ref="A181:A192" si="31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1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1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1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1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1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1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1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1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1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1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1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2">IF(SUM(G182:G192)=0,(" "),SUM(G182:G193))</f>
        <v xml:space="preserve"> </v>
      </c>
      <c r="H194" s="60" t="str">
        <f t="shared" si="32"/>
        <v xml:space="preserve"> </v>
      </c>
      <c r="I194" s="60" t="str">
        <f>IF(SUM(I182:I192)=0,(" "),SUM(I182:I193))</f>
        <v xml:space="preserve"> </v>
      </c>
      <c r="J194" s="60" t="str">
        <f t="shared" si="32"/>
        <v xml:space="preserve"> </v>
      </c>
      <c r="K194" s="60" t="str">
        <f>IF(SUM(K182:K192)=0,(" "),SUM(K182:K193))</f>
        <v xml:space="preserve"> </v>
      </c>
      <c r="L194" s="60" t="str">
        <f t="shared" si="32"/>
        <v xml:space="preserve"> </v>
      </c>
      <c r="M194" s="60" t="str">
        <f t="shared" si="32"/>
        <v xml:space="preserve"> </v>
      </c>
      <c r="N194" s="132" t="str">
        <f t="shared" si="32"/>
        <v xml:space="preserve"> </v>
      </c>
      <c r="O194" s="60" t="str">
        <f t="shared" si="32"/>
        <v xml:space="preserve"> </v>
      </c>
      <c r="P194" s="60" t="str">
        <f t="shared" si="32"/>
        <v xml:space="preserve"> </v>
      </c>
      <c r="Q194" s="60" t="str">
        <f t="shared" si="32"/>
        <v xml:space="preserve"> </v>
      </c>
      <c r="R194" s="60" t="str">
        <f t="shared" si="32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3">IF(G194=(" "),(" "),F195+G194)</f>
        <v xml:space="preserve"> </v>
      </c>
      <c r="H195" s="64" t="str">
        <f t="shared" si="33"/>
        <v xml:space="preserve"> </v>
      </c>
      <c r="I195" s="64" t="str">
        <f t="shared" si="33"/>
        <v xml:space="preserve"> </v>
      </c>
      <c r="J195" s="64" t="str">
        <f t="shared" si="33"/>
        <v xml:space="preserve"> </v>
      </c>
      <c r="K195" s="64" t="str">
        <f t="shared" si="33"/>
        <v xml:space="preserve"> </v>
      </c>
      <c r="L195" s="64" t="str">
        <f>IF(L194=(" "),(" "),K195+L194)</f>
        <v xml:space="preserve"> </v>
      </c>
      <c r="M195" s="64" t="str">
        <f t="shared" si="33"/>
        <v xml:space="preserve"> </v>
      </c>
      <c r="N195" s="133" t="str">
        <f t="shared" si="33"/>
        <v xml:space="preserve"> </v>
      </c>
      <c r="O195" s="64" t="str">
        <f t="shared" si="33"/>
        <v xml:space="preserve"> </v>
      </c>
      <c r="P195" s="64" t="str">
        <f t="shared" si="33"/>
        <v xml:space="preserve"> </v>
      </c>
      <c r="Q195" s="64" t="str">
        <f t="shared" si="33"/>
        <v xml:space="preserve"> </v>
      </c>
      <c r="R195" s="64" t="str">
        <f t="shared" si="33"/>
        <v xml:space="preserve"> </v>
      </c>
    </row>
    <row r="197" spans="1:18" ht="15" customHeight="1">
      <c r="A197" s="52" t="str">
        <f t="shared" ref="A197:A208" si="34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4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4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4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4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4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4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4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4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4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4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4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5">IF(SUM(G198:G208)=0,(" "),SUM(G198:G209))</f>
        <v xml:space="preserve"> </v>
      </c>
      <c r="H210" s="60" t="str">
        <f t="shared" si="35"/>
        <v xml:space="preserve"> </v>
      </c>
      <c r="I210" s="60" t="str">
        <f t="shared" si="35"/>
        <v xml:space="preserve"> </v>
      </c>
      <c r="J210" s="60" t="str">
        <f t="shared" si="35"/>
        <v xml:space="preserve"> </v>
      </c>
      <c r="K210" s="60" t="str">
        <f t="shared" si="35"/>
        <v xml:space="preserve"> </v>
      </c>
      <c r="L210" s="60" t="str">
        <f t="shared" si="35"/>
        <v xml:space="preserve"> </v>
      </c>
      <c r="M210" s="60" t="str">
        <f t="shared" si="35"/>
        <v xml:space="preserve"> </v>
      </c>
      <c r="N210" s="132" t="str">
        <f t="shared" si="35"/>
        <v xml:space="preserve"> </v>
      </c>
      <c r="O210" s="60" t="str">
        <f t="shared" si="35"/>
        <v xml:space="preserve"> </v>
      </c>
      <c r="P210" s="60" t="str">
        <f t="shared" si="35"/>
        <v xml:space="preserve"> </v>
      </c>
      <c r="Q210" s="60" t="str">
        <f t="shared" si="35"/>
        <v xml:space="preserve"> </v>
      </c>
      <c r="R210" s="60" t="str">
        <f t="shared" si="35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6">IF(G210=(" "),(" "),F211+G210)</f>
        <v xml:space="preserve"> </v>
      </c>
      <c r="H211" s="64" t="str">
        <f t="shared" si="36"/>
        <v xml:space="preserve"> </v>
      </c>
      <c r="I211" s="64" t="str">
        <f t="shared" si="36"/>
        <v xml:space="preserve"> </v>
      </c>
      <c r="J211" s="64" t="str">
        <f t="shared" si="36"/>
        <v xml:space="preserve"> </v>
      </c>
      <c r="K211" s="64" t="str">
        <f t="shared" si="36"/>
        <v xml:space="preserve"> </v>
      </c>
      <c r="L211" s="64" t="str">
        <f>IF(L210=(" "),(" "),K211+L210)</f>
        <v xml:space="preserve"> </v>
      </c>
      <c r="M211" s="64" t="str">
        <f t="shared" si="36"/>
        <v xml:space="preserve"> </v>
      </c>
      <c r="N211" s="133" t="str">
        <f t="shared" si="36"/>
        <v xml:space="preserve"> </v>
      </c>
      <c r="O211" s="64" t="str">
        <f t="shared" si="36"/>
        <v xml:space="preserve"> </v>
      </c>
      <c r="P211" s="64" t="str">
        <f t="shared" si="36"/>
        <v xml:space="preserve"> </v>
      </c>
      <c r="Q211" s="64" t="str">
        <f t="shared" si="36"/>
        <v xml:space="preserve"> </v>
      </c>
      <c r="R211" s="64" t="str">
        <f t="shared" si="36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59" zoomScale="115" zoomScaleNormal="115" workbookViewId="0">
      <selection activeCell="E3" sqref="E3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4" t="s">
        <v>219</v>
      </c>
      <c r="B2" s="295"/>
      <c r="C2" s="295"/>
      <c r="D2" s="295"/>
      <c r="E2" s="215" t="s">
        <v>245</v>
      </c>
    </row>
    <row r="3" spans="1:5" s="54" customFormat="1" ht="25.2" customHeight="1">
      <c r="A3" s="294" t="s">
        <v>218</v>
      </c>
      <c r="B3" s="295"/>
      <c r="C3" s="295"/>
      <c r="D3" s="295"/>
      <c r="E3" s="221">
        <v>46072</v>
      </c>
    </row>
    <row r="4" spans="1:5" ht="18" customHeight="1">
      <c r="B4" s="301" t="s">
        <v>96</v>
      </c>
      <c r="C4" s="302"/>
      <c r="D4" s="174"/>
    </row>
    <row r="5" spans="1:5" ht="15" customHeight="1">
      <c r="B5" s="122"/>
    </row>
    <row r="6" spans="1:5" ht="19.95" customHeight="1">
      <c r="A6" s="175" t="s">
        <v>220</v>
      </c>
      <c r="B6" s="174" t="s">
        <v>221</v>
      </c>
      <c r="C6" s="174" t="s">
        <v>222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216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217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156</v>
      </c>
      <c r="C10" s="127" t="s">
        <v>158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158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216</v>
      </c>
      <c r="C15" s="127" t="s">
        <v>156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217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158</v>
      </c>
      <c r="C20" s="127" t="s">
        <v>217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216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156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216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158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156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217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156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216</v>
      </c>
      <c r="C33" s="127" t="s">
        <v>158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217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216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217</v>
      </c>
      <c r="C39" s="220" t="s">
        <v>156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158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158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217</v>
      </c>
      <c r="C46" s="127" t="s">
        <v>216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156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3"/>
      <c r="B49" s="302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4" t="s">
        <v>219</v>
      </c>
      <c r="B51" s="295"/>
      <c r="C51" s="295"/>
      <c r="D51" s="295"/>
      <c r="E51" s="215"/>
    </row>
    <row r="52" spans="1:7" s="54" customFormat="1" ht="25.2" customHeight="1">
      <c r="A52" s="294" t="s">
        <v>218</v>
      </c>
      <c r="B52" s="295"/>
      <c r="C52" s="295"/>
      <c r="D52" s="295"/>
      <c r="E52" s="218"/>
    </row>
    <row r="53" spans="1:7" ht="19.95" customHeight="1">
      <c r="B53" s="300" t="s">
        <v>97</v>
      </c>
      <c r="C53" s="301"/>
      <c r="E53" s="174"/>
    </row>
    <row r="54" spans="1:7" ht="10.199999999999999" customHeight="1">
      <c r="B54" s="122"/>
    </row>
    <row r="55" spans="1:7" ht="19.95" customHeight="1">
      <c r="A55" s="175" t="s">
        <v>220</v>
      </c>
      <c r="B55" s="174" t="s">
        <v>221</v>
      </c>
      <c r="C55" s="174" t="s">
        <v>222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158</v>
      </c>
      <c r="C57" s="127" t="s">
        <v>216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217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156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>
        <f>VLOOKUP(B63,Punten!$C$3:$R$141,11,0)</f>
        <v>46.707999999999998</v>
      </c>
      <c r="E63" s="137">
        <f>VLOOKUP(C63,Punten!$C$3:$R$141,11,0)</f>
        <v>47.715000000000003</v>
      </c>
    </row>
    <row r="64" spans="1:7" s="74" customFormat="1" ht="19.95" customHeight="1">
      <c r="A64" s="126">
        <v>46070</v>
      </c>
      <c r="B64" s="127" t="s">
        <v>158</v>
      </c>
      <c r="C64" s="127" t="s">
        <v>54</v>
      </c>
      <c r="D64" s="137">
        <f>VLOOKUP(B64,Punten!$C$3:$R$141,11,0)</f>
        <v>70.141999999999996</v>
      </c>
      <c r="E64" s="137">
        <f>VLOOKUP(C64,Punten!$C$3:$R$141,11,0)</f>
        <v>48.611000000000004</v>
      </c>
    </row>
    <row r="65" spans="1:5" s="74" customFormat="1" ht="19.95" customHeight="1">
      <c r="A65" s="219">
        <v>46071</v>
      </c>
      <c r="B65" s="220" t="s">
        <v>156</v>
      </c>
      <c r="C65" s="220" t="s">
        <v>217</v>
      </c>
      <c r="D65" s="137">
        <f>VLOOKUP(B65,Punten!$C$3:$R$141,11,0)</f>
        <v>59.11</v>
      </c>
      <c r="E65" s="137">
        <f>VLOOKUP(C65,Punten!$C$3:$R$141,11,0)</f>
        <v>63.588999999999999</v>
      </c>
    </row>
    <row r="66" spans="1:5" s="74" customFormat="1" ht="19.95" customHeight="1">
      <c r="A66" s="126">
        <v>46072</v>
      </c>
      <c r="B66" s="127" t="s">
        <v>124</v>
      </c>
      <c r="C66" s="127" t="s">
        <v>216</v>
      </c>
      <c r="D66" s="137">
        <f>VLOOKUP(B66,Punten!$C$3:$R$141,11,0)</f>
        <v>60.244</v>
      </c>
      <c r="E66" s="137">
        <f>VLOOKUP(C66,Punten!$C$3:$R$141,11,0)</f>
        <v>75.825000000000003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216</v>
      </c>
      <c r="C69" s="127" t="s">
        <v>217</v>
      </c>
      <c r="D69" s="282">
        <f>VLOOKUP(B69,Punten!$C$3:$R$141,12,0)</f>
        <v>0</v>
      </c>
      <c r="E69" s="282" t="str">
        <f>VLOOKUP(C69,Punten!$C$3:$R$141,12,0)</f>
        <v xml:space="preserve"> </v>
      </c>
    </row>
    <row r="70" spans="1:5" s="74" customFormat="1" ht="19.95" customHeight="1">
      <c r="A70" s="126">
        <v>46085</v>
      </c>
      <c r="B70" s="127" t="s">
        <v>156</v>
      </c>
      <c r="C70" s="127" t="s">
        <v>124</v>
      </c>
      <c r="D70" s="137" t="str">
        <f>VLOOKUP(B70,Punten!$C$3:$R$141,12,0)</f>
        <v xml:space="preserve"> </v>
      </c>
      <c r="E70" s="137" t="str">
        <f>VLOOKUP(C70,Punten!$C$3:$R$141,12,0)</f>
        <v xml:space="preserve"> </v>
      </c>
    </row>
    <row r="71" spans="1:5" s="74" customFormat="1" ht="19.95" customHeight="1">
      <c r="A71" s="126">
        <v>46085</v>
      </c>
      <c r="B71" s="127" t="s">
        <v>52</v>
      </c>
      <c r="C71" s="127" t="s">
        <v>158</v>
      </c>
      <c r="D71" s="137" t="str">
        <f>VLOOKUP(B71,Punten!$C$3:$R$141,12,0)</f>
        <v xml:space="preserve"> </v>
      </c>
      <c r="E71" s="137" t="str">
        <f>VLOOKUP(C71,Punten!$C$3:$R$141,12,0)</f>
        <v xml:space="preserve"> 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 t="str">
        <f>VLOOKUP(B72,Punten!$C$3:$R$141,12,0)</f>
        <v xml:space="preserve"> </v>
      </c>
      <c r="E72" s="137" t="str">
        <f>VLOOKUP(C72,Punten!$C$3:$R$141,12,0)</f>
        <v xml:space="preserve"> 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216</v>
      </c>
      <c r="C75" s="127" t="s">
        <v>145</v>
      </c>
      <c r="D75" s="137" t="str">
        <f>VLOOKUP(B75,Punten!$C$3:$R$141,13,0)</f>
        <v xml:space="preserve"> </v>
      </c>
      <c r="E75" s="137" t="str">
        <f>VLOOKUP(C75,Punten!$C$3:$R$141,13,0)</f>
        <v xml:space="preserve"> </v>
      </c>
    </row>
    <row r="76" spans="1:5" s="74" customFormat="1" ht="19.95" customHeight="1">
      <c r="A76" s="126">
        <v>46099</v>
      </c>
      <c r="B76" s="127" t="s">
        <v>156</v>
      </c>
      <c r="C76" s="127" t="s">
        <v>52</v>
      </c>
      <c r="D76" s="137" t="str">
        <f>VLOOKUP(B76,Punten!$C$3:$R$141,13,0)</f>
        <v xml:space="preserve"> </v>
      </c>
      <c r="E76" s="137" t="str">
        <f>VLOOKUP(C76,Punten!$C$3:$R$141,13,0)</f>
        <v xml:space="preserve"> </v>
      </c>
    </row>
    <row r="77" spans="1:5" s="74" customFormat="1" ht="19.95" customHeight="1">
      <c r="A77" s="226">
        <v>46092</v>
      </c>
      <c r="B77" s="227" t="s">
        <v>217</v>
      </c>
      <c r="C77" s="227" t="s">
        <v>54</v>
      </c>
      <c r="D77" s="137" t="str">
        <f>VLOOKUP(B77,Punten!$C$3:$R$141,13,0)</f>
        <v xml:space="preserve"> </v>
      </c>
      <c r="E77" s="137" t="str">
        <f>VLOOKUP(C77,Punten!$C$3:$R$141,13,0)</f>
        <v xml:space="preserve"> </v>
      </c>
    </row>
    <row r="78" spans="1:5" s="74" customFormat="1" ht="19.95" customHeight="1">
      <c r="A78" s="126">
        <v>46100</v>
      </c>
      <c r="B78" s="127" t="s">
        <v>124</v>
      </c>
      <c r="C78" s="127" t="s">
        <v>158</v>
      </c>
      <c r="D78" s="137" t="str">
        <f>VLOOKUP(B78,Punten!$C$3:$R$141,13,0)</f>
        <v xml:space="preserve"> </v>
      </c>
      <c r="E78" s="137" t="str">
        <f>VLOOKUP(C78,Punten!$C$3:$R$141,13,0)</f>
        <v xml:space="preserve"> 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217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158</v>
      </c>
      <c r="C82" s="127" t="s">
        <v>156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216</v>
      </c>
      <c r="D84" s="137" t="str">
        <f>VLOOKUP(B84,Punten!$C$3:$R$141,14,0)</f>
        <v xml:space="preserve"> </v>
      </c>
      <c r="E84" s="137" t="str">
        <f>VLOOKUP(C84,Punten!$C$3:$R$141,14,0)</f>
        <v xml:space="preserve"> 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217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158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156</v>
      </c>
      <c r="C89" s="127" t="s">
        <v>216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216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158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156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8" t="s">
        <v>229</v>
      </c>
      <c r="B98" s="299"/>
      <c r="C98" s="225" t="s">
        <v>228</v>
      </c>
      <c r="E98" s="75"/>
      <c r="F98" s="75"/>
      <c r="G98" s="75"/>
    </row>
    <row r="99" spans="1:7" s="74" customFormat="1" ht="15.6">
      <c r="A99" s="296" t="s">
        <v>262</v>
      </c>
      <c r="B99" s="297"/>
      <c r="C99" s="297"/>
      <c r="D99" s="297"/>
      <c r="E99" s="297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AI13" sqref="AI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09" t="s">
        <v>10</v>
      </c>
      <c r="C3" s="311" t="s">
        <v>0</v>
      </c>
      <c r="D3" s="313" t="s">
        <v>113</v>
      </c>
      <c r="E3" s="314"/>
      <c r="F3" s="314"/>
      <c r="G3" s="314"/>
      <c r="H3" s="314"/>
      <c r="I3" s="314"/>
      <c r="J3" s="314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04" t="s">
        <v>114</v>
      </c>
      <c r="Q3" s="305"/>
      <c r="R3" s="305"/>
      <c r="S3" s="305"/>
      <c r="T3" s="305"/>
      <c r="U3" s="305"/>
      <c r="V3" s="30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1" ht="15.75" customHeight="1" thickBot="1">
      <c r="B4" s="310"/>
      <c r="C4" s="312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16"/>
      <c r="L4" s="318"/>
      <c r="M4" s="318"/>
      <c r="N4" s="320"/>
      <c r="O4" s="322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28"/>
      <c r="X4" s="324"/>
      <c r="Y4" s="326"/>
      <c r="Z4" s="8"/>
      <c r="AA4" s="328"/>
      <c r="AB4" s="324"/>
      <c r="AC4" s="324"/>
      <c r="AD4" s="326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>
        <v>20</v>
      </c>
      <c r="R5" s="180"/>
      <c r="S5" s="180"/>
      <c r="T5" s="180"/>
      <c r="U5" s="180"/>
      <c r="V5" s="181"/>
      <c r="W5" s="17">
        <f t="shared" ref="W5:W19" si="3">SUM(P5:V5)</f>
        <v>20</v>
      </c>
      <c r="X5" s="14">
        <f t="shared" ref="X5:X19" si="4">COUNTIF(P5:V5,"&gt;0")</f>
        <v>1</v>
      </c>
      <c r="Y5" s="101">
        <f>IF(W5=0," ",W5/X5)</f>
        <v>20</v>
      </c>
      <c r="Z5" s="18"/>
      <c r="AA5" s="17">
        <f t="shared" ref="AA5:AA19" si="5">K5+W5</f>
        <v>89</v>
      </c>
      <c r="AB5" s="14">
        <f t="shared" ref="AB5:AB19" si="6">L5+X5</f>
        <v>4</v>
      </c>
      <c r="AC5" s="14">
        <f>IF(AA5=0," ",AA5/AB5)</f>
        <v>22.25</v>
      </c>
      <c r="AD5" s="101">
        <f t="shared" ref="AD5:AD15" si="7">IF(AA5=0," ",AA5/(AB5*O5)*100)</f>
        <v>92.708333333333343</v>
      </c>
      <c r="AE5" s="245">
        <f>IF(AB5&gt;=$AE$2,AA5/(AB5*O5)*100,"0")</f>
        <v>92.708333333333343</v>
      </c>
    </row>
    <row r="6" spans="2:31" s="19" customFormat="1" ht="20.100000000000001" customHeight="1">
      <c r="B6" s="51" t="s">
        <v>215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  <c r="AE6" s="245">
        <f t="shared" ref="AE6:AE19" si="8">IF(AB6&gt;=$AE$2,AA6/(AB6*O6)*100,"0")</f>
        <v>126.11111111111111</v>
      </c>
    </row>
    <row r="7" spans="2:31" s="19" customFormat="1" ht="20.100000000000001" customHeight="1">
      <c r="B7" s="51" t="s">
        <v>183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>
        <v>21</v>
      </c>
      <c r="R8" s="183"/>
      <c r="S8" s="183"/>
      <c r="T8" s="183"/>
      <c r="U8" s="183"/>
      <c r="V8" s="184"/>
      <c r="W8" s="25">
        <f t="shared" si="3"/>
        <v>52</v>
      </c>
      <c r="X8" s="23">
        <f t="shared" si="4"/>
        <v>2</v>
      </c>
      <c r="Y8" s="24">
        <f t="shared" si="10"/>
        <v>26</v>
      </c>
      <c r="Z8" s="18"/>
      <c r="AA8" s="25">
        <f t="shared" si="5"/>
        <v>161</v>
      </c>
      <c r="AB8" s="23">
        <f t="shared" si="6"/>
        <v>7</v>
      </c>
      <c r="AC8" s="23">
        <f t="shared" si="11"/>
        <v>23</v>
      </c>
      <c r="AD8" s="24">
        <f t="shared" si="7"/>
        <v>92</v>
      </c>
      <c r="AE8" s="245">
        <f t="shared" si="8"/>
        <v>92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>
        <v>17</v>
      </c>
      <c r="R9" s="183"/>
      <c r="S9" s="183"/>
      <c r="T9" s="183"/>
      <c r="U9" s="183"/>
      <c r="V9" s="184"/>
      <c r="W9" s="25">
        <f t="shared" si="3"/>
        <v>53</v>
      </c>
      <c r="X9" s="23">
        <f t="shared" si="4"/>
        <v>2</v>
      </c>
      <c r="Y9" s="24">
        <f t="shared" si="10"/>
        <v>26.5</v>
      </c>
      <c r="Z9" s="18"/>
      <c r="AA9" s="25">
        <f t="shared" si="5"/>
        <v>206</v>
      </c>
      <c r="AB9" s="23">
        <f t="shared" si="6"/>
        <v>6</v>
      </c>
      <c r="AC9" s="23">
        <f t="shared" si="11"/>
        <v>34.333333333333336</v>
      </c>
      <c r="AD9" s="24">
        <f t="shared" si="7"/>
        <v>79.84496124031007</v>
      </c>
      <c r="AE9" s="245">
        <f t="shared" si="8"/>
        <v>79.84496124031007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>
        <v>27</v>
      </c>
      <c r="R10" s="183"/>
      <c r="S10" s="183"/>
      <c r="T10" s="183"/>
      <c r="U10" s="183"/>
      <c r="V10" s="184"/>
      <c r="W10" s="25">
        <f t="shared" si="3"/>
        <v>27</v>
      </c>
      <c r="X10" s="23">
        <f t="shared" si="4"/>
        <v>1</v>
      </c>
      <c r="Y10" s="24">
        <f t="shared" si="10"/>
        <v>27</v>
      </c>
      <c r="Z10" s="18"/>
      <c r="AA10" s="25">
        <f t="shared" si="5"/>
        <v>93</v>
      </c>
      <c r="AB10" s="23">
        <f t="shared" si="6"/>
        <v>5</v>
      </c>
      <c r="AC10" s="23">
        <f t="shared" si="11"/>
        <v>18.600000000000001</v>
      </c>
      <c r="AD10" s="24">
        <f t="shared" si="7"/>
        <v>93</v>
      </c>
      <c r="AE10" s="245">
        <f t="shared" si="8"/>
        <v>93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>
        <v>6</v>
      </c>
      <c r="R11" s="183"/>
      <c r="S11" s="183"/>
      <c r="T11" s="183"/>
      <c r="U11" s="183"/>
      <c r="V11" s="184"/>
      <c r="W11" s="25">
        <f t="shared" si="3"/>
        <v>6</v>
      </c>
      <c r="X11" s="23">
        <f t="shared" si="4"/>
        <v>1</v>
      </c>
      <c r="Y11" s="24">
        <f t="shared" si="10"/>
        <v>6</v>
      </c>
      <c r="Z11" s="18"/>
      <c r="AA11" s="25">
        <f t="shared" si="5"/>
        <v>70</v>
      </c>
      <c r="AB11" s="23">
        <f t="shared" si="6"/>
        <v>6</v>
      </c>
      <c r="AC11" s="23">
        <f t="shared" si="11"/>
        <v>11.666666666666666</v>
      </c>
      <c r="AD11" s="24">
        <f t="shared" si="7"/>
        <v>68.627450980392155</v>
      </c>
      <c r="AE11" s="245">
        <f t="shared" si="8"/>
        <v>68.627450980392155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/>
      <c r="S12" s="183"/>
      <c r="T12" s="183"/>
      <c r="U12" s="183"/>
      <c r="V12" s="184"/>
      <c r="W12" s="25">
        <f t="shared" si="3"/>
        <v>33</v>
      </c>
      <c r="X12" s="23">
        <f t="shared" si="4"/>
        <v>1</v>
      </c>
      <c r="Y12" s="24">
        <f t="shared" si="10"/>
        <v>33</v>
      </c>
      <c r="Z12" s="18"/>
      <c r="AA12" s="25">
        <f t="shared" si="5"/>
        <v>143</v>
      </c>
      <c r="AB12" s="23">
        <f t="shared" si="6"/>
        <v>5</v>
      </c>
      <c r="AC12" s="23">
        <f t="shared" si="11"/>
        <v>28.6</v>
      </c>
      <c r="AD12" s="24">
        <f t="shared" si="7"/>
        <v>102.14285714285714</v>
      </c>
      <c r="AE12" s="245">
        <f t="shared" si="8"/>
        <v>102.14285714285714</v>
      </c>
    </row>
    <row r="13" spans="2:31" s="19" customFormat="1" ht="19.95" customHeight="1">
      <c r="B13" s="51" t="s">
        <v>194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>
        <v>23</v>
      </c>
      <c r="R13" s="183"/>
      <c r="S13" s="183"/>
      <c r="T13" s="183"/>
      <c r="U13" s="183"/>
      <c r="V13" s="184"/>
      <c r="W13" s="25">
        <f t="shared" si="3"/>
        <v>51</v>
      </c>
      <c r="X13" s="23">
        <f t="shared" si="4"/>
        <v>2</v>
      </c>
      <c r="Y13" s="24">
        <f t="shared" si="10"/>
        <v>25.5</v>
      </c>
      <c r="Z13" s="18"/>
      <c r="AA13" s="25">
        <f t="shared" si="5"/>
        <v>99</v>
      </c>
      <c r="AB13" s="23">
        <f t="shared" si="6"/>
        <v>4</v>
      </c>
      <c r="AC13" s="23">
        <f t="shared" si="11"/>
        <v>24.75</v>
      </c>
      <c r="AD13" s="24">
        <f t="shared" si="7"/>
        <v>107.60869565217391</v>
      </c>
      <c r="AE13" s="245">
        <f t="shared" si="8"/>
        <v>107.60869565217391</v>
      </c>
    </row>
    <row r="14" spans="2:31" s="19" customFormat="1" ht="19.95" customHeight="1">
      <c r="B14" s="51" t="s">
        <v>214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/>
      <c r="T14" s="183"/>
      <c r="U14" s="183"/>
      <c r="V14" s="184"/>
      <c r="W14" s="25">
        <f t="shared" si="3"/>
        <v>33</v>
      </c>
      <c r="X14" s="23">
        <f t="shared" si="4"/>
        <v>1</v>
      </c>
      <c r="Y14" s="24">
        <f t="shared" si="10"/>
        <v>33</v>
      </c>
      <c r="Z14" s="18"/>
      <c r="AA14" s="25">
        <f t="shared" si="5"/>
        <v>173</v>
      </c>
      <c r="AB14" s="23">
        <f t="shared" si="6"/>
        <v>6</v>
      </c>
      <c r="AC14" s="23">
        <f t="shared" si="11"/>
        <v>28.833333333333332</v>
      </c>
      <c r="AD14" s="24">
        <f t="shared" si="7"/>
        <v>120.13888888888889</v>
      </c>
      <c r="AE14" s="245">
        <f t="shared" si="8"/>
        <v>120.13888888888889</v>
      </c>
    </row>
    <row r="15" spans="2:31" s="19" customFormat="1" ht="19.95" customHeight="1">
      <c r="B15" s="244" t="s">
        <v>273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/>
      <c r="S16" s="183"/>
      <c r="T16" s="183"/>
      <c r="U16" s="183"/>
      <c r="V16" s="184"/>
      <c r="W16" s="25">
        <f t="shared" si="3"/>
        <v>35</v>
      </c>
      <c r="X16" s="23">
        <f t="shared" si="4"/>
        <v>1</v>
      </c>
      <c r="Y16" s="24">
        <f>IF(W16=0," ",W16/X16)</f>
        <v>35</v>
      </c>
      <c r="Z16" s="18"/>
      <c r="AA16" s="25">
        <f t="shared" ref="AA16" si="12">K16+W16</f>
        <v>100</v>
      </c>
      <c r="AB16" s="23">
        <f t="shared" ref="AB16" si="13">L16+X16</f>
        <v>3</v>
      </c>
      <c r="AC16" s="23">
        <f>IF(AA16=0," ",AA16/AB16)</f>
        <v>33.333333333333336</v>
      </c>
      <c r="AD16" s="24">
        <f t="shared" ref="AD16" si="14">IF(AA16=0," ",AA16/(AB16*O16)*100)</f>
        <v>114.94252873563218</v>
      </c>
      <c r="AE16" s="245">
        <f t="shared" si="8"/>
        <v>114.94252873563218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114</v>
      </c>
      <c r="R20" s="36">
        <f t="shared" si="16"/>
        <v>0</v>
      </c>
      <c r="S20" s="36">
        <f t="shared" si="16"/>
        <v>0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310</v>
      </c>
      <c r="X20" s="35">
        <f t="shared" si="16"/>
        <v>12</v>
      </c>
      <c r="Y20" s="41">
        <f>W20/X20</f>
        <v>25.833333333333332</v>
      </c>
      <c r="Z20" s="44"/>
      <c r="AA20" s="43">
        <f>SUM(AA5:AA19)</f>
        <v>1439</v>
      </c>
      <c r="AB20" s="35">
        <f>SUM(AB5:AB19)</f>
        <v>54</v>
      </c>
      <c r="AC20" s="35">
        <f>AA20/AB20</f>
        <v>26.648148148148149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D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zoomScale="80" zoomScaleNormal="80" workbookViewId="0">
      <selection activeCell="AJ12" sqref="AJ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32" t="s">
        <v>176</v>
      </c>
      <c r="C3" s="311" t="s">
        <v>0</v>
      </c>
      <c r="D3" s="304" t="s">
        <v>109</v>
      </c>
      <c r="E3" s="334"/>
      <c r="F3" s="334"/>
      <c r="G3" s="334"/>
      <c r="H3" s="334"/>
      <c r="I3" s="334"/>
      <c r="J3" s="334"/>
      <c r="K3" s="327" t="s">
        <v>1</v>
      </c>
      <c r="L3" s="335" t="s">
        <v>2</v>
      </c>
      <c r="M3" s="323" t="s">
        <v>3</v>
      </c>
      <c r="N3" s="335" t="s">
        <v>224</v>
      </c>
      <c r="O3" s="338" t="s">
        <v>4</v>
      </c>
      <c r="P3" s="304" t="s">
        <v>112</v>
      </c>
      <c r="Q3" s="305"/>
      <c r="R3" s="305"/>
      <c r="S3" s="305"/>
      <c r="T3" s="305"/>
      <c r="U3" s="305"/>
      <c r="V3" s="305"/>
      <c r="W3" s="327" t="s">
        <v>1</v>
      </c>
      <c r="X3" s="317" t="s">
        <v>2</v>
      </c>
      <c r="Y3" s="325" t="s">
        <v>5</v>
      </c>
      <c r="Z3" s="138"/>
      <c r="AA3" s="327" t="s">
        <v>1</v>
      </c>
      <c r="AB3" s="317" t="s">
        <v>2</v>
      </c>
      <c r="AC3" s="340" t="s">
        <v>6</v>
      </c>
      <c r="AD3" s="325" t="s">
        <v>224</v>
      </c>
    </row>
    <row r="4" spans="2:31" ht="15" thickBot="1">
      <c r="B4" s="333"/>
      <c r="C4" s="312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30"/>
      <c r="L4" s="336"/>
      <c r="M4" s="337"/>
      <c r="N4" s="336"/>
      <c r="O4" s="339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1"/>
      <c r="Y4" s="329"/>
      <c r="Z4" s="139"/>
      <c r="AA4" s="330"/>
      <c r="AB4" s="331"/>
      <c r="AC4" s="341"/>
      <c r="AD4" s="329"/>
    </row>
    <row r="5" spans="2:31" s="19" customFormat="1" ht="19.95" customHeight="1">
      <c r="B5" s="51" t="s">
        <v>213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>
        <v>43</v>
      </c>
      <c r="R5" s="180"/>
      <c r="S5" s="180"/>
      <c r="T5" s="180"/>
      <c r="U5" s="180"/>
      <c r="V5" s="181"/>
      <c r="W5" s="17">
        <f t="shared" ref="W5:W19" si="3">SUM(P5:V5)</f>
        <v>43</v>
      </c>
      <c r="X5" s="14">
        <f t="shared" ref="X5:X19" si="4">COUNTIF(P5:V5,"&gt;0")</f>
        <v>1</v>
      </c>
      <c r="Y5" s="101">
        <f>IF(W5=0," ",W5/X5)</f>
        <v>43</v>
      </c>
      <c r="Z5" s="18"/>
      <c r="AA5" s="17">
        <f t="shared" ref="AA5:AA19" si="5">K5+W5</f>
        <v>169</v>
      </c>
      <c r="AB5" s="14">
        <f t="shared" ref="AB5:AB19" si="6">L5+X5</f>
        <v>4</v>
      </c>
      <c r="AC5" s="14">
        <f>IF(AA5=0," ",AA5/AB5)</f>
        <v>42.25</v>
      </c>
      <c r="AD5" s="101">
        <f t="shared" ref="AD5:AD19" si="7">IF(AA5=0," ",AA5/(AB5*O5)*100)</f>
        <v>124.26470588235294</v>
      </c>
      <c r="AE5" s="245">
        <f>IF(AB5&gt;=$AE$2,AA5/(AB5*O5)*100,"0")</f>
        <v>124.26470588235294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>
        <v>51</v>
      </c>
      <c r="R6" s="183"/>
      <c r="S6" s="183"/>
      <c r="T6" s="183"/>
      <c r="U6" s="183"/>
      <c r="V6" s="184"/>
      <c r="W6" s="25">
        <f t="shared" si="3"/>
        <v>93</v>
      </c>
      <c r="X6" s="23">
        <f t="shared" si="4"/>
        <v>2</v>
      </c>
      <c r="Y6" s="24">
        <f>IF(W6=0," ",W6/X6)</f>
        <v>46.5</v>
      </c>
      <c r="Z6" s="18"/>
      <c r="AA6" s="25">
        <f t="shared" si="5"/>
        <v>346</v>
      </c>
      <c r="AB6" s="23">
        <f t="shared" si="6"/>
        <v>6</v>
      </c>
      <c r="AC6" s="23">
        <f>IF(AA6=0," ",AA6/AB6)</f>
        <v>57.666666666666664</v>
      </c>
      <c r="AD6" s="24">
        <f t="shared" si="7"/>
        <v>117.68707482993197</v>
      </c>
      <c r="AE6" s="245">
        <f t="shared" ref="AE6:AE19" si="8">IF(AB6&gt;=$AE$2,AA6/(AB6*O6)*100,"0")</f>
        <v>117.68707482993197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/>
      <c r="T8" s="183"/>
      <c r="U8" s="183"/>
      <c r="V8" s="184"/>
      <c r="W8" s="25">
        <f t="shared" si="3"/>
        <v>17</v>
      </c>
      <c r="X8" s="23">
        <f t="shared" si="4"/>
        <v>1</v>
      </c>
      <c r="Y8" s="24">
        <f t="shared" si="10"/>
        <v>17</v>
      </c>
      <c r="Z8" s="18"/>
      <c r="AA8" s="25">
        <f t="shared" si="5"/>
        <v>106</v>
      </c>
      <c r="AB8" s="23">
        <f t="shared" si="6"/>
        <v>6</v>
      </c>
      <c r="AC8" s="23">
        <f t="shared" si="11"/>
        <v>17.666666666666668</v>
      </c>
      <c r="AD8" s="24">
        <f t="shared" si="7"/>
        <v>98.148148148148152</v>
      </c>
      <c r="AE8" s="245">
        <f t="shared" si="8"/>
        <v>98.148148148148152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>
        <v>26</v>
      </c>
      <c r="R9" s="183"/>
      <c r="S9" s="183"/>
      <c r="T9" s="183"/>
      <c r="U9" s="183"/>
      <c r="V9" s="184"/>
      <c r="W9" s="25">
        <f t="shared" si="3"/>
        <v>50</v>
      </c>
      <c r="X9" s="23">
        <f t="shared" si="4"/>
        <v>2</v>
      </c>
      <c r="Y9" s="24">
        <f t="shared" si="10"/>
        <v>25</v>
      </c>
      <c r="Z9" s="18"/>
      <c r="AA9" s="25">
        <f t="shared" si="5"/>
        <v>121</v>
      </c>
      <c r="AB9" s="23">
        <f t="shared" si="6"/>
        <v>4</v>
      </c>
      <c r="AC9" s="23">
        <f t="shared" si="11"/>
        <v>30.25</v>
      </c>
      <c r="AD9" s="24">
        <f t="shared" si="7"/>
        <v>112.03703703703705</v>
      </c>
      <c r="AE9" s="245">
        <f t="shared" si="8"/>
        <v>112.03703703703705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1"/>
        <v>47.8</v>
      </c>
      <c r="AD10" s="24">
        <f t="shared" si="7"/>
        <v>75.873015873015873</v>
      </c>
      <c r="AE10" s="245">
        <f t="shared" si="8"/>
        <v>75.873015873015873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1"/>
        <v>43.666666666666664</v>
      </c>
      <c r="AD11" s="24">
        <f t="shared" si="7"/>
        <v>85.620915032679733</v>
      </c>
      <c r="AE11" s="245">
        <f t="shared" si="8"/>
        <v>85.620915032679733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/>
      <c r="S13" s="183"/>
      <c r="T13" s="183"/>
      <c r="U13" s="183"/>
      <c r="V13" s="184"/>
      <c r="W13" s="25">
        <f t="shared" si="3"/>
        <v>100</v>
      </c>
      <c r="X13" s="23">
        <f t="shared" si="4"/>
        <v>1</v>
      </c>
      <c r="Y13" s="24">
        <f t="shared" si="10"/>
        <v>100</v>
      </c>
      <c r="Z13" s="18"/>
      <c r="AA13" s="25">
        <f t="shared" si="5"/>
        <v>310</v>
      </c>
      <c r="AB13" s="23">
        <f t="shared" si="6"/>
        <v>4</v>
      </c>
      <c r="AC13" s="23">
        <f t="shared" si="11"/>
        <v>77.5</v>
      </c>
      <c r="AD13" s="24">
        <f t="shared" si="7"/>
        <v>89.080459770114942</v>
      </c>
      <c r="AE13" s="245">
        <f t="shared" si="8"/>
        <v>89.080459770114942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>
        <v>23</v>
      </c>
      <c r="R14" s="183"/>
      <c r="S14" s="183"/>
      <c r="T14" s="183"/>
      <c r="U14" s="183"/>
      <c r="V14" s="184"/>
      <c r="W14" s="25">
        <f t="shared" si="3"/>
        <v>23</v>
      </c>
      <c r="X14" s="23">
        <f t="shared" si="4"/>
        <v>1</v>
      </c>
      <c r="Y14" s="24">
        <f t="shared" si="10"/>
        <v>23</v>
      </c>
      <c r="Z14" s="18"/>
      <c r="AA14" s="25">
        <f t="shared" si="5"/>
        <v>47</v>
      </c>
      <c r="AB14" s="23">
        <f t="shared" si="6"/>
        <v>2</v>
      </c>
      <c r="AC14" s="23">
        <f t="shared" si="11"/>
        <v>23.5</v>
      </c>
      <c r="AD14" s="24">
        <f t="shared" si="7"/>
        <v>97.916666666666657</v>
      </c>
      <c r="AE14" s="245">
        <f t="shared" si="8"/>
        <v>97.916666666666657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1"/>
        <v>51.666666666666664</v>
      </c>
      <c r="AD15" s="24">
        <f t="shared" si="7"/>
        <v>89.080459770114942</v>
      </c>
      <c r="AE15" s="245">
        <f t="shared" si="8"/>
        <v>89.080459770114942</v>
      </c>
    </row>
    <row r="16" spans="2:31" s="19" customFormat="1" ht="19.95" customHeight="1">
      <c r="B16" s="51" t="s">
        <v>244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>
        <v>30</v>
      </c>
      <c r="R16" s="183"/>
      <c r="S16" s="183"/>
      <c r="T16" s="183"/>
      <c r="U16" s="183"/>
      <c r="V16" s="184"/>
      <c r="W16" s="25">
        <f t="shared" si="3"/>
        <v>30</v>
      </c>
      <c r="X16" s="23">
        <f t="shared" si="4"/>
        <v>1</v>
      </c>
      <c r="Y16" s="24">
        <f>IF(W16=0," ",W16/X16)</f>
        <v>30</v>
      </c>
      <c r="Z16" s="18"/>
      <c r="AA16" s="25">
        <f t="shared" si="5"/>
        <v>30</v>
      </c>
      <c r="AB16" s="23">
        <f t="shared" si="6"/>
        <v>1</v>
      </c>
      <c r="AC16" s="23">
        <f>IF(AA16=0," ",AA16/AB16)</f>
        <v>30</v>
      </c>
      <c r="AD16" s="24">
        <f t="shared" si="7"/>
        <v>83.333333333333343</v>
      </c>
      <c r="AE16" s="245">
        <f t="shared" si="8"/>
        <v>83.333333333333343</v>
      </c>
    </row>
    <row r="17" spans="2:31" s="19" customFormat="1" ht="19.95" customHeight="1">
      <c r="B17" s="51" t="s">
        <v>270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269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246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>
        <v>27</v>
      </c>
      <c r="R19" s="186"/>
      <c r="S19" s="186"/>
      <c r="T19" s="186"/>
      <c r="U19" s="186"/>
      <c r="V19" s="187"/>
      <c r="W19" s="32">
        <f t="shared" si="3"/>
        <v>27</v>
      </c>
      <c r="X19" s="30">
        <f t="shared" si="4"/>
        <v>1</v>
      </c>
      <c r="Y19" s="31">
        <f>IF(W19=0," ",W19/X19)</f>
        <v>27</v>
      </c>
      <c r="Z19" s="18"/>
      <c r="AA19" s="32">
        <f t="shared" si="5"/>
        <v>89</v>
      </c>
      <c r="AB19" s="30">
        <f t="shared" si="6"/>
        <v>4</v>
      </c>
      <c r="AC19" s="30">
        <f>IF(AA19=0," ",AA19/AB19)</f>
        <v>22.25</v>
      </c>
      <c r="AD19" s="31">
        <f t="shared" si="7"/>
        <v>79.464285714285708</v>
      </c>
      <c r="AE19" s="245">
        <f t="shared" si="8"/>
        <v>79.464285714285708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200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412</v>
      </c>
      <c r="X20" s="35">
        <f t="shared" si="13"/>
        <v>12</v>
      </c>
      <c r="Y20" s="41">
        <f>W20/X20</f>
        <v>34.333333333333336</v>
      </c>
      <c r="Z20" s="44"/>
      <c r="AA20" s="43">
        <f>SUM(AA5:AA19)</f>
        <v>2030</v>
      </c>
      <c r="AB20" s="35">
        <f>SUM(AB5:AB19)</f>
        <v>54</v>
      </c>
      <c r="AC20" s="35">
        <f>AA20/AB20</f>
        <v>37.592592592592595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Q6" sqref="Q6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09" t="s">
        <v>242</v>
      </c>
      <c r="C3" s="311" t="s">
        <v>0</v>
      </c>
      <c r="D3" s="313" t="s">
        <v>113</v>
      </c>
      <c r="E3" s="314"/>
      <c r="F3" s="314"/>
      <c r="G3" s="314"/>
      <c r="H3" s="314"/>
      <c r="I3" s="314"/>
      <c r="J3" s="314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13" t="s">
        <v>112</v>
      </c>
      <c r="Q3" s="345"/>
      <c r="R3" s="345"/>
      <c r="S3" s="345"/>
      <c r="T3" s="345"/>
      <c r="U3" s="345"/>
      <c r="V3" s="34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1" ht="15" thickBot="1">
      <c r="B4" s="310"/>
      <c r="C4" s="342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1"/>
      <c r="M4" s="331"/>
      <c r="N4" s="344"/>
      <c r="O4" s="322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30"/>
      <c r="X4" s="337"/>
      <c r="Y4" s="329"/>
      <c r="Z4" s="8"/>
      <c r="AA4" s="330"/>
      <c r="AB4" s="337"/>
      <c r="AC4" s="337"/>
      <c r="AD4" s="329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180">
        <v>39</v>
      </c>
      <c r="R5" s="239">
        <v>50</v>
      </c>
      <c r="S5" s="180"/>
      <c r="T5" s="180"/>
      <c r="U5" s="180"/>
      <c r="V5" s="181"/>
      <c r="W5" s="17">
        <f t="shared" ref="W5:W14" si="3">SUM(P5:V5)</f>
        <v>112</v>
      </c>
      <c r="X5" s="14">
        <f t="shared" ref="X5:X14" si="4">COUNTIF(P5:V5,"&gt;0")</f>
        <v>3</v>
      </c>
      <c r="Y5" s="101">
        <f>IF(W5=0," ",W5/X5)</f>
        <v>37.333333333333336</v>
      </c>
      <c r="Z5" s="18"/>
      <c r="AA5" s="17">
        <f t="shared" ref="AA5:AA14" si="5">K5+W5</f>
        <v>310</v>
      </c>
      <c r="AB5" s="14">
        <f t="shared" ref="AB5:AB14" si="6">L5+X5</f>
        <v>10</v>
      </c>
      <c r="AC5" s="14">
        <f>IF(AA5=0," ",AA5/AB5)</f>
        <v>31</v>
      </c>
      <c r="AD5" s="101">
        <f t="shared" ref="AD5:AD14" si="7">IF(AA5=0," ",AA5/(AB5*O5)*100)</f>
        <v>77.5</v>
      </c>
      <c r="AE5" s="245">
        <f>IF(AB5&gt;=$AE$2,AA5/(AB5*O5)*100,"0")</f>
        <v>77.5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>
        <v>16</v>
      </c>
      <c r="R6" s="183"/>
      <c r="S6" s="183"/>
      <c r="T6" s="183"/>
      <c r="U6" s="183"/>
      <c r="V6" s="184"/>
      <c r="W6" s="25">
        <f t="shared" si="3"/>
        <v>33</v>
      </c>
      <c r="X6" s="23">
        <f t="shared" si="4"/>
        <v>2</v>
      </c>
      <c r="Y6" s="24">
        <f>IF(W6=0," ",W6/X6)</f>
        <v>16.5</v>
      </c>
      <c r="Z6" s="18"/>
      <c r="AA6" s="25">
        <f t="shared" si="5"/>
        <v>110</v>
      </c>
      <c r="AB6" s="23">
        <f t="shared" si="6"/>
        <v>6</v>
      </c>
      <c r="AC6" s="23">
        <f>IF(AA6=0," ",AA6/AB6)</f>
        <v>18.333333333333332</v>
      </c>
      <c r="AD6" s="24">
        <f t="shared" si="7"/>
        <v>122.22222222222223</v>
      </c>
      <c r="AE6" s="245">
        <f t="shared" ref="AE6:AE19" si="8">IF(AB6&gt;=$AE$2,AA6/(AB6*O6)*100,"0")</f>
        <v>122.22222222222223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>
        <v>36</v>
      </c>
      <c r="R7" s="183"/>
      <c r="S7" s="183"/>
      <c r="T7" s="183"/>
      <c r="U7" s="183"/>
      <c r="V7" s="184"/>
      <c r="W7" s="25">
        <f t="shared" si="3"/>
        <v>36</v>
      </c>
      <c r="X7" s="23">
        <f t="shared" si="4"/>
        <v>1</v>
      </c>
      <c r="Y7" s="24">
        <f t="shared" ref="Y7:Y19" si="10">IF(W7=0," ",W7/X7)</f>
        <v>36</v>
      </c>
      <c r="Z7" s="18"/>
      <c r="AA7" s="25">
        <f t="shared" si="5"/>
        <v>116</v>
      </c>
      <c r="AB7" s="23">
        <f t="shared" si="6"/>
        <v>6</v>
      </c>
      <c r="AC7" s="23">
        <f t="shared" ref="AC7:AC19" si="11">IF(AA7=0," ",AA7/AB7)</f>
        <v>19.333333333333332</v>
      </c>
      <c r="AD7" s="24">
        <f t="shared" si="7"/>
        <v>107.40740740740742</v>
      </c>
      <c r="AE7" s="245">
        <f t="shared" si="8"/>
        <v>107.40740740740742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>
        <v>23</v>
      </c>
      <c r="R8" s="183"/>
      <c r="S8" s="183"/>
      <c r="T8" s="183"/>
      <c r="U8" s="183"/>
      <c r="V8" s="184"/>
      <c r="W8" s="25">
        <f t="shared" si="3"/>
        <v>23</v>
      </c>
      <c r="X8" s="23">
        <f t="shared" si="4"/>
        <v>1</v>
      </c>
      <c r="Y8" s="24">
        <f t="shared" si="10"/>
        <v>23</v>
      </c>
      <c r="Z8" s="18"/>
      <c r="AA8" s="25">
        <f t="shared" si="5"/>
        <v>109</v>
      </c>
      <c r="AB8" s="23">
        <f t="shared" si="6"/>
        <v>6</v>
      </c>
      <c r="AC8" s="23">
        <f t="shared" si="11"/>
        <v>18.166666666666668</v>
      </c>
      <c r="AD8" s="24">
        <f t="shared" si="7"/>
        <v>100.92592592592592</v>
      </c>
      <c r="AE8" s="245">
        <f t="shared" si="8"/>
        <v>100.92592592592592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>
        <v>29</v>
      </c>
      <c r="R11" s="183"/>
      <c r="S11" s="183"/>
      <c r="T11" s="183"/>
      <c r="U11" s="183"/>
      <c r="V11" s="184"/>
      <c r="W11" s="25">
        <f t="shared" si="3"/>
        <v>62</v>
      </c>
      <c r="X11" s="23">
        <f t="shared" si="4"/>
        <v>2</v>
      </c>
      <c r="Y11" s="24">
        <f t="shared" si="10"/>
        <v>31</v>
      </c>
      <c r="Z11" s="18"/>
      <c r="AA11" s="25">
        <f t="shared" si="5"/>
        <v>209</v>
      </c>
      <c r="AB11" s="23">
        <f t="shared" si="6"/>
        <v>8</v>
      </c>
      <c r="AC11" s="23">
        <f t="shared" si="11"/>
        <v>26.125</v>
      </c>
      <c r="AD11" s="24">
        <f t="shared" si="7"/>
        <v>93.303571428571431</v>
      </c>
      <c r="AE11" s="245">
        <f t="shared" si="8"/>
        <v>93.303571428571431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/>
      <c r="S12" s="183"/>
      <c r="T12" s="183"/>
      <c r="U12" s="183"/>
      <c r="V12" s="184"/>
      <c r="W12" s="25">
        <f t="shared" si="3"/>
        <v>25</v>
      </c>
      <c r="X12" s="23">
        <f t="shared" si="4"/>
        <v>1</v>
      </c>
      <c r="Y12" s="24">
        <f t="shared" si="10"/>
        <v>25</v>
      </c>
      <c r="Z12" s="18"/>
      <c r="AA12" s="25">
        <f t="shared" si="5"/>
        <v>128</v>
      </c>
      <c r="AB12" s="23">
        <f t="shared" si="6"/>
        <v>6</v>
      </c>
      <c r="AC12" s="23">
        <f t="shared" si="11"/>
        <v>21.333333333333332</v>
      </c>
      <c r="AD12" s="24">
        <f t="shared" si="7"/>
        <v>92.753623188405797</v>
      </c>
      <c r="AE12" s="245">
        <f t="shared" si="8"/>
        <v>92.753623188405797</v>
      </c>
    </row>
    <row r="13" spans="2:31" s="19" customFormat="1" ht="19.95" customHeight="1">
      <c r="B13" s="51" t="s">
        <v>257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/>
      <c r="S13" s="183"/>
      <c r="T13" s="183"/>
      <c r="U13" s="183"/>
      <c r="V13" s="184"/>
      <c r="W13" s="25">
        <f t="shared" si="3"/>
        <v>10</v>
      </c>
      <c r="X13" s="23">
        <f t="shared" si="4"/>
        <v>1</v>
      </c>
      <c r="Y13" s="24">
        <f t="shared" si="10"/>
        <v>10</v>
      </c>
      <c r="Z13" s="18"/>
      <c r="AA13" s="25">
        <f t="shared" si="5"/>
        <v>46</v>
      </c>
      <c r="AB13" s="23">
        <f t="shared" si="6"/>
        <v>5</v>
      </c>
      <c r="AC13" s="23">
        <f t="shared" si="11"/>
        <v>9.1999999999999993</v>
      </c>
      <c r="AD13" s="24">
        <f t="shared" si="7"/>
        <v>61.333333333333329</v>
      </c>
      <c r="AE13" s="245">
        <f t="shared" si="8"/>
        <v>61.333333333333329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>
        <v>27</v>
      </c>
      <c r="R14" s="183"/>
      <c r="S14" s="183"/>
      <c r="T14" s="183"/>
      <c r="U14" s="183"/>
      <c r="V14" s="184"/>
      <c r="W14" s="25">
        <f t="shared" si="3"/>
        <v>48</v>
      </c>
      <c r="X14" s="23">
        <f t="shared" si="4"/>
        <v>2</v>
      </c>
      <c r="Y14" s="24">
        <f t="shared" si="10"/>
        <v>24</v>
      </c>
      <c r="Z14" s="18"/>
      <c r="AA14" s="25">
        <f t="shared" si="5"/>
        <v>107</v>
      </c>
      <c r="AB14" s="23">
        <f t="shared" si="6"/>
        <v>5</v>
      </c>
      <c r="AC14" s="23">
        <f t="shared" si="11"/>
        <v>21.4</v>
      </c>
      <c r="AD14" s="24">
        <f t="shared" si="7"/>
        <v>97.27272727272728</v>
      </c>
      <c r="AE14" s="245">
        <f t="shared" si="8"/>
        <v>97.27272727272728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str">
        <f t="shared" si="8"/>
        <v>0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SUM(G5:G19)+R5</f>
        <v>179</v>
      </c>
      <c r="H20" s="36">
        <f>SUM(H5:H19)</f>
        <v>86</v>
      </c>
      <c r="I20" s="36">
        <f>SUM(I5:I19)</f>
        <v>133</v>
      </c>
      <c r="J20" s="36">
        <f>SUM(J5:J19)</f>
        <v>115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>SUM(Q5:Q19)</f>
        <v>170</v>
      </c>
      <c r="R20" s="36">
        <f>SUM(R5:R19)-R5</f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349</v>
      </c>
      <c r="X20" s="35">
        <f t="shared" si="14"/>
        <v>13</v>
      </c>
      <c r="Y20" s="41">
        <f>W20/X20</f>
        <v>26.846153846153847</v>
      </c>
      <c r="Z20" s="44"/>
      <c r="AA20" s="43">
        <f>SUM(AA5:AA19)</f>
        <v>1188</v>
      </c>
      <c r="AB20" s="35">
        <f>SUM(AB5:AB19)</f>
        <v>54</v>
      </c>
      <c r="AC20" s="35">
        <f>AA20/AB20</f>
        <v>22</v>
      </c>
      <c r="AD20" s="37"/>
    </row>
    <row r="22" spans="2:31">
      <c r="B22"/>
    </row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AJ10" sqref="AJ10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09" t="s">
        <v>155</v>
      </c>
      <c r="C3" s="311" t="s">
        <v>0</v>
      </c>
      <c r="D3" s="304" t="s">
        <v>111</v>
      </c>
      <c r="E3" s="305"/>
      <c r="F3" s="305"/>
      <c r="G3" s="305"/>
      <c r="H3" s="305"/>
      <c r="I3" s="305"/>
      <c r="J3" s="305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04" t="s">
        <v>112</v>
      </c>
      <c r="Q3" s="305"/>
      <c r="R3" s="305"/>
      <c r="S3" s="305"/>
      <c r="T3" s="305"/>
      <c r="U3" s="305"/>
      <c r="V3" s="30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1" ht="15.75" customHeight="1" thickBot="1">
      <c r="B4" s="310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6"/>
      <c r="L4" s="318"/>
      <c r="M4" s="318"/>
      <c r="N4" s="320"/>
      <c r="O4" s="322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30"/>
      <c r="X4" s="337"/>
      <c r="Y4" s="329"/>
      <c r="Z4" s="8"/>
      <c r="AA4" s="328"/>
      <c r="AB4" s="324"/>
      <c r="AC4" s="324"/>
      <c r="AD4" s="326"/>
    </row>
    <row r="5" spans="2:31" s="19" customFormat="1" ht="19.95" customHeight="1">
      <c r="B5" s="51" t="s">
        <v>187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>
        <v>18</v>
      </c>
      <c r="R6" s="183"/>
      <c r="S6" s="183"/>
      <c r="T6" s="183"/>
      <c r="U6" s="183"/>
      <c r="V6" s="184"/>
      <c r="W6" s="25">
        <f t="shared" si="3"/>
        <v>18</v>
      </c>
      <c r="X6" s="23">
        <f t="shared" si="4"/>
        <v>1</v>
      </c>
      <c r="Y6" s="24">
        <f>IF(W6=0," ",W6/X6)</f>
        <v>18</v>
      </c>
      <c r="Z6" s="18"/>
      <c r="AA6" s="25">
        <f t="shared" si="5"/>
        <v>135</v>
      </c>
      <c r="AB6" s="23">
        <f t="shared" si="6"/>
        <v>5</v>
      </c>
      <c r="AC6" s="23">
        <f>IF(AA6=0," ",AA6/AB6)</f>
        <v>27</v>
      </c>
      <c r="AD6" s="24">
        <f t="shared" si="7"/>
        <v>112.5</v>
      </c>
      <c r="AE6" s="245">
        <f t="shared" ref="AE6:AE19" si="8">IF(AB6&gt;=$AE$2,AA6/(AB6*O6)*100,"0")</f>
        <v>112.5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>
        <v>77</v>
      </c>
      <c r="R7" s="183"/>
      <c r="S7" s="183"/>
      <c r="T7" s="183"/>
      <c r="U7" s="183"/>
      <c r="V7" s="184"/>
      <c r="W7" s="25">
        <f t="shared" si="3"/>
        <v>77</v>
      </c>
      <c r="X7" s="23">
        <f t="shared" si="4"/>
        <v>1</v>
      </c>
      <c r="Y7" s="24">
        <f t="shared" ref="Y7:Y17" si="10">IF(W7=0," ",W7/X7)</f>
        <v>77</v>
      </c>
      <c r="Z7" s="18"/>
      <c r="AA7" s="25">
        <f t="shared" si="5"/>
        <v>273</v>
      </c>
      <c r="AB7" s="23">
        <f t="shared" si="6"/>
        <v>5</v>
      </c>
      <c r="AC7" s="23">
        <f t="shared" ref="AC7:AC17" si="11">IF(AA7=0," ",AA7/AB7)</f>
        <v>54.6</v>
      </c>
      <c r="AD7" s="24">
        <f t="shared" si="7"/>
        <v>101.11111111111111</v>
      </c>
      <c r="AE7" s="245">
        <f t="shared" si="8"/>
        <v>101.11111111111111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1"/>
        <v>36.75</v>
      </c>
      <c r="AD8" s="24">
        <f t="shared" si="7"/>
        <v>108.08823529411764</v>
      </c>
      <c r="AE8" s="245">
        <f t="shared" si="8"/>
        <v>108.08823529411764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1"/>
        <v>29</v>
      </c>
      <c r="AD9" s="24">
        <f t="shared" si="7"/>
        <v>161.11111111111111</v>
      </c>
      <c r="AE9" s="245">
        <f t="shared" si="8"/>
        <v>161.11111111111111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>
        <v>12</v>
      </c>
      <c r="R10" s="183"/>
      <c r="S10" s="183"/>
      <c r="T10" s="183"/>
      <c r="U10" s="183"/>
      <c r="V10" s="184"/>
      <c r="W10" s="25">
        <f t="shared" si="3"/>
        <v>37</v>
      </c>
      <c r="X10" s="23">
        <f t="shared" si="4"/>
        <v>2</v>
      </c>
      <c r="Y10" s="24">
        <f t="shared" si="10"/>
        <v>18.5</v>
      </c>
      <c r="Z10" s="18"/>
      <c r="AA10" s="25">
        <f t="shared" si="5"/>
        <v>108</v>
      </c>
      <c r="AB10" s="23">
        <f t="shared" si="6"/>
        <v>5</v>
      </c>
      <c r="AC10" s="23">
        <f t="shared" si="11"/>
        <v>21.6</v>
      </c>
      <c r="AD10" s="24">
        <f t="shared" si="7"/>
        <v>135</v>
      </c>
      <c r="AE10" s="245">
        <f t="shared" si="8"/>
        <v>135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>
        <v>26</v>
      </c>
      <c r="R11" s="183"/>
      <c r="S11" s="183"/>
      <c r="T11" s="183"/>
      <c r="U11" s="183"/>
      <c r="V11" s="184"/>
      <c r="W11" s="25">
        <f t="shared" si="3"/>
        <v>38</v>
      </c>
      <c r="X11" s="23">
        <f t="shared" si="4"/>
        <v>2</v>
      </c>
      <c r="Y11" s="24">
        <f t="shared" si="10"/>
        <v>19</v>
      </c>
      <c r="Z11" s="18"/>
      <c r="AA11" s="25">
        <f t="shared" si="5"/>
        <v>90</v>
      </c>
      <c r="AB11" s="23">
        <f t="shared" si="6"/>
        <v>5</v>
      </c>
      <c r="AC11" s="23">
        <f t="shared" si="11"/>
        <v>18</v>
      </c>
      <c r="AD11" s="24">
        <f t="shared" si="7"/>
        <v>66.666666666666657</v>
      </c>
      <c r="AE11" s="245">
        <f t="shared" si="8"/>
        <v>66.666666666666657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188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274</v>
      </c>
      <c r="C14" s="176">
        <v>25</v>
      </c>
      <c r="D14" s="283">
        <v>26</v>
      </c>
      <c r="E14" s="183"/>
      <c r="F14" s="183"/>
      <c r="G14" s="284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241">
        <v>24</v>
      </c>
      <c r="P14" s="182"/>
      <c r="Q14" s="284">
        <v>17</v>
      </c>
      <c r="R14" s="183"/>
      <c r="S14" s="183"/>
      <c r="T14" s="183"/>
      <c r="U14" s="183"/>
      <c r="V14" s="184"/>
      <c r="W14" s="25">
        <f t="shared" si="3"/>
        <v>17</v>
      </c>
      <c r="X14" s="23">
        <f t="shared" si="4"/>
        <v>1</v>
      </c>
      <c r="Y14" s="24">
        <f t="shared" si="10"/>
        <v>17</v>
      </c>
      <c r="Z14" s="18"/>
      <c r="AA14" s="25">
        <f t="shared" si="5"/>
        <v>71</v>
      </c>
      <c r="AB14" s="23">
        <f t="shared" si="6"/>
        <v>3</v>
      </c>
      <c r="AC14" s="23">
        <f t="shared" si="11"/>
        <v>23.666666666666668</v>
      </c>
      <c r="AD14" s="24">
        <f t="shared" si="7"/>
        <v>98.611111111111114</v>
      </c>
      <c r="AE14" s="245">
        <f t="shared" si="8"/>
        <v>98.611111111111114</v>
      </c>
    </row>
    <row r="15" spans="2:31" s="19" customFormat="1" ht="19.95" customHeight="1">
      <c r="B15" s="51" t="s">
        <v>212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90</v>
      </c>
      <c r="AE15" s="245">
        <f t="shared" si="8"/>
        <v>90</v>
      </c>
    </row>
    <row r="16" spans="2:31" s="19" customFormat="1" ht="19.95" customHeight="1">
      <c r="B16" s="51" t="s">
        <v>247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248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189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>
        <v>51</v>
      </c>
      <c r="R18" s="183"/>
      <c r="S18" s="183"/>
      <c r="T18" s="183"/>
      <c r="U18" s="183"/>
      <c r="V18" s="184"/>
      <c r="W18" s="25">
        <f t="shared" si="3"/>
        <v>88</v>
      </c>
      <c r="X18" s="23">
        <f t="shared" si="4"/>
        <v>2</v>
      </c>
      <c r="Y18" s="24">
        <f>IF(W18=0," ",W18/X18)</f>
        <v>44</v>
      </c>
      <c r="Z18" s="18"/>
      <c r="AA18" s="25">
        <f t="shared" si="5"/>
        <v>222</v>
      </c>
      <c r="AB18" s="23">
        <f t="shared" si="6"/>
        <v>6</v>
      </c>
      <c r="AC18" s="23">
        <f>IF(AA18=0," ",AA18/AB18)</f>
        <v>37</v>
      </c>
      <c r="AD18" s="24">
        <f t="shared" si="7"/>
        <v>97.368421052631575</v>
      </c>
      <c r="AE18" s="245">
        <f t="shared" si="8"/>
        <v>97.368421052631575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432</v>
      </c>
      <c r="P20" s="39">
        <f t="shared" si="13"/>
        <v>167</v>
      </c>
      <c r="Q20" s="36">
        <f t="shared" si="13"/>
        <v>201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368</v>
      </c>
      <c r="X20" s="35">
        <f t="shared" si="13"/>
        <v>12</v>
      </c>
      <c r="Y20" s="41">
        <f>W20/X20</f>
        <v>30.666666666666668</v>
      </c>
      <c r="Z20" s="44"/>
      <c r="AA20" s="43">
        <f>SUM(AA5:AA19)</f>
        <v>1682</v>
      </c>
      <c r="AB20" s="35">
        <f>SUM(AB5:AB19)</f>
        <v>54</v>
      </c>
      <c r="AC20" s="35">
        <f>AA20/AB20</f>
        <v>31.148148148148149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X3:X4"/>
    <mergeCell ref="Y3:Y4"/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B17" sqref="B17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32" t="s">
        <v>184</v>
      </c>
      <c r="C3" s="311" t="s">
        <v>0</v>
      </c>
      <c r="D3" s="345" t="s">
        <v>109</v>
      </c>
      <c r="E3" s="314"/>
      <c r="F3" s="314"/>
      <c r="G3" s="314"/>
      <c r="H3" s="314"/>
      <c r="I3" s="314"/>
      <c r="J3" s="314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13" t="s">
        <v>112</v>
      </c>
      <c r="Q3" s="345"/>
      <c r="R3" s="345"/>
      <c r="S3" s="345"/>
      <c r="T3" s="345"/>
      <c r="U3" s="345"/>
      <c r="V3" s="34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1" ht="15" thickBot="1">
      <c r="B4" s="346"/>
      <c r="C4" s="342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1"/>
      <c r="M4" s="331"/>
      <c r="N4" s="344"/>
      <c r="O4" s="322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7"/>
      <c r="Y4" s="329"/>
      <c r="Z4" s="8"/>
      <c r="AA4" s="330"/>
      <c r="AB4" s="337"/>
      <c r="AC4" s="337"/>
      <c r="AD4" s="329"/>
    </row>
    <row r="5" spans="2:31" s="19" customFormat="1" ht="19.95" customHeight="1">
      <c r="B5" s="51" t="s">
        <v>185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>
        <v>35</v>
      </c>
      <c r="R5" s="180"/>
      <c r="S5" s="180"/>
      <c r="T5" s="180"/>
      <c r="U5" s="180"/>
      <c r="V5" s="181"/>
      <c r="W5" s="17">
        <f t="shared" ref="W5:W19" si="3">SUM(P5:V5)</f>
        <v>58</v>
      </c>
      <c r="X5" s="14">
        <f t="shared" ref="X5:X19" si="4">COUNTIF(P5:V5,"&gt;0")</f>
        <v>2</v>
      </c>
      <c r="Y5" s="101">
        <f>IF(W5=0," ",W5/X5)</f>
        <v>29</v>
      </c>
      <c r="Z5" s="18"/>
      <c r="AA5" s="17">
        <f t="shared" ref="AA5:AA19" si="5">K5+W5</f>
        <v>248</v>
      </c>
      <c r="AB5" s="14">
        <f t="shared" ref="AB5:AB19" si="6">L5+X5</f>
        <v>6</v>
      </c>
      <c r="AC5" s="14">
        <f>IF(AA5=0," ",AA5/AB5)</f>
        <v>41.333333333333336</v>
      </c>
      <c r="AD5" s="101">
        <f t="shared" ref="AD5:AD19" si="7">IF(AA5=0," ",AA5/(AB5*O5)*100)</f>
        <v>103.33333333333334</v>
      </c>
      <c r="AE5" s="245">
        <f>IF(AB5&gt;=$AE$2,AA5/(AB5*O5)*100,"0")</f>
        <v>103.33333333333334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>
        <v>19</v>
      </c>
      <c r="R6" s="183"/>
      <c r="S6" s="183"/>
      <c r="T6" s="183"/>
      <c r="U6" s="183"/>
      <c r="V6" s="184"/>
      <c r="W6" s="25">
        <f t="shared" si="3"/>
        <v>34</v>
      </c>
      <c r="X6" s="23">
        <f t="shared" si="4"/>
        <v>2</v>
      </c>
      <c r="Y6" s="24">
        <f>IF(W6=0," ",W6/X6)</f>
        <v>17</v>
      </c>
      <c r="Z6" s="18"/>
      <c r="AA6" s="25">
        <f t="shared" si="5"/>
        <v>132</v>
      </c>
      <c r="AB6" s="23">
        <f t="shared" si="6"/>
        <v>6</v>
      </c>
      <c r="AC6" s="23">
        <f>IF(AA6=0," ",AA6/AB6)</f>
        <v>22</v>
      </c>
      <c r="AD6" s="24">
        <f t="shared" si="7"/>
        <v>100</v>
      </c>
      <c r="AE6" s="245">
        <f t="shared" ref="AE6:AE19" si="8">IF(AB6&gt;=$AE$2,AA6/(AB6*O6)*100,"0")</f>
        <v>100</v>
      </c>
    </row>
    <row r="7" spans="2:31" s="19" customFormat="1" ht="19.95" customHeight="1">
      <c r="B7" s="51" t="s">
        <v>226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>
        <v>20</v>
      </c>
      <c r="R7" s="183"/>
      <c r="S7" s="183"/>
      <c r="T7" s="183"/>
      <c r="U7" s="183"/>
      <c r="V7" s="184"/>
      <c r="W7" s="25">
        <f t="shared" si="3"/>
        <v>37</v>
      </c>
      <c r="X7" s="23">
        <f t="shared" si="4"/>
        <v>2</v>
      </c>
      <c r="Y7" s="24">
        <f t="shared" ref="Y7:Y18" si="10">IF(W7=0," ",W7/X7)</f>
        <v>18.5</v>
      </c>
      <c r="Z7" s="18"/>
      <c r="AA7" s="25">
        <f t="shared" si="5"/>
        <v>195</v>
      </c>
      <c r="AB7" s="23">
        <f t="shared" si="6"/>
        <v>9</v>
      </c>
      <c r="AC7" s="23">
        <f t="shared" ref="AC7:AC18" si="11">IF(AA7=0," ",AA7/AB7)</f>
        <v>21.666666666666668</v>
      </c>
      <c r="AD7" s="24">
        <f t="shared" si="7"/>
        <v>103.17460317460319</v>
      </c>
      <c r="AE7" s="245">
        <f t="shared" si="8"/>
        <v>103.17460317460319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/>
      <c r="S8" s="183"/>
      <c r="T8" s="183"/>
      <c r="U8" s="183"/>
      <c r="V8" s="184"/>
      <c r="W8" s="25">
        <f t="shared" si="3"/>
        <v>8</v>
      </c>
      <c r="X8" s="23">
        <f t="shared" si="4"/>
        <v>1</v>
      </c>
      <c r="Y8" s="24">
        <f t="shared" si="10"/>
        <v>8</v>
      </c>
      <c r="Z8" s="18"/>
      <c r="AA8" s="25">
        <f t="shared" si="5"/>
        <v>66</v>
      </c>
      <c r="AB8" s="23">
        <f t="shared" si="6"/>
        <v>6</v>
      </c>
      <c r="AC8" s="23">
        <f t="shared" si="11"/>
        <v>11</v>
      </c>
      <c r="AD8" s="24">
        <f t="shared" si="7"/>
        <v>64.705882352941174</v>
      </c>
      <c r="AE8" s="245">
        <f t="shared" si="8"/>
        <v>64.705882352941174</v>
      </c>
    </row>
    <row r="9" spans="2:31" s="19" customFormat="1" ht="19.95" customHeight="1">
      <c r="B9" s="51" t="s">
        <v>151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>
        <v>64</v>
      </c>
      <c r="R9" s="183"/>
      <c r="S9" s="183"/>
      <c r="T9" s="183"/>
      <c r="U9" s="183"/>
      <c r="V9" s="184"/>
      <c r="W9" s="25">
        <f t="shared" si="3"/>
        <v>64</v>
      </c>
      <c r="X9" s="23">
        <f t="shared" si="4"/>
        <v>1</v>
      </c>
      <c r="Y9" s="24">
        <f t="shared" si="10"/>
        <v>64</v>
      </c>
      <c r="Z9" s="18"/>
      <c r="AA9" s="25">
        <f t="shared" si="5"/>
        <v>259</v>
      </c>
      <c r="AB9" s="23">
        <f t="shared" si="6"/>
        <v>4</v>
      </c>
      <c r="AC9" s="23">
        <f t="shared" si="11"/>
        <v>64.75</v>
      </c>
      <c r="AD9" s="24">
        <f t="shared" si="7"/>
        <v>72.752808988764045</v>
      </c>
      <c r="AE9" s="245">
        <f t="shared" si="8"/>
        <v>72.752808988764045</v>
      </c>
    </row>
    <row r="10" spans="2:31" s="19" customFormat="1" ht="19.95" customHeight="1">
      <c r="B10" s="51" t="s">
        <v>209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8"/>
        <v>0</v>
      </c>
    </row>
    <row r="11" spans="2:31" s="19" customFormat="1" ht="19.95" customHeight="1">
      <c r="B11" s="51" t="s">
        <v>152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275</v>
      </c>
      <c r="AB11" s="23">
        <f t="shared" si="6"/>
        <v>7</v>
      </c>
      <c r="AC11" s="23">
        <f t="shared" si="11"/>
        <v>39.285714285714285</v>
      </c>
      <c r="AD11" s="24">
        <f t="shared" si="7"/>
        <v>112.24489795918366</v>
      </c>
      <c r="AE11" s="245">
        <f t="shared" si="8"/>
        <v>112.24489795918366</v>
      </c>
    </row>
    <row r="12" spans="2:31" s="19" customFormat="1" ht="19.95" customHeight="1">
      <c r="B12" s="51" t="s">
        <v>186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>
        <v>13</v>
      </c>
      <c r="R12" s="183"/>
      <c r="S12" s="183"/>
      <c r="T12" s="183"/>
      <c r="U12" s="183"/>
      <c r="V12" s="184"/>
      <c r="W12" s="25">
        <f t="shared" si="3"/>
        <v>32</v>
      </c>
      <c r="X12" s="23">
        <f t="shared" si="4"/>
        <v>2</v>
      </c>
      <c r="Y12" s="24">
        <f t="shared" si="10"/>
        <v>16</v>
      </c>
      <c r="Z12" s="18"/>
      <c r="AA12" s="25">
        <f t="shared" si="5"/>
        <v>77</v>
      </c>
      <c r="AB12" s="23">
        <f t="shared" si="6"/>
        <v>4</v>
      </c>
      <c r="AC12" s="23">
        <f t="shared" si="11"/>
        <v>19.25</v>
      </c>
      <c r="AD12" s="24">
        <f t="shared" si="7"/>
        <v>106.94444444444444</v>
      </c>
      <c r="AE12" s="245">
        <f t="shared" si="8"/>
        <v>106.94444444444444</v>
      </c>
    </row>
    <row r="13" spans="2:31" s="19" customFormat="1" ht="19.95" customHeight="1">
      <c r="B13" s="51" t="s">
        <v>254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str">
        <f t="shared" si="8"/>
        <v>0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  <c r="AE15" s="245">
        <f t="shared" si="8"/>
        <v>65.517241379310349</v>
      </c>
    </row>
    <row r="16" spans="2:31" s="19" customFormat="1" ht="19.95" customHeight="1">
      <c r="B16" s="51" t="s">
        <v>210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>
        <v>14</v>
      </c>
      <c r="R16" s="183"/>
      <c r="S16" s="183"/>
      <c r="T16" s="183"/>
      <c r="U16" s="183"/>
      <c r="V16" s="184"/>
      <c r="W16" s="25">
        <f t="shared" si="3"/>
        <v>14</v>
      </c>
      <c r="X16" s="23">
        <f t="shared" si="4"/>
        <v>1</v>
      </c>
      <c r="Y16" s="24">
        <f>IF(W16=0," ",W16/X16)</f>
        <v>14</v>
      </c>
      <c r="Z16" s="18"/>
      <c r="AA16" s="25">
        <f t="shared" si="5"/>
        <v>98</v>
      </c>
      <c r="AB16" s="23">
        <f t="shared" si="6"/>
        <v>4</v>
      </c>
      <c r="AC16" s="23">
        <f>IF(AA16=0," ",AA16/AB16)</f>
        <v>24.5</v>
      </c>
      <c r="AD16" s="24">
        <f t="shared" si="7"/>
        <v>94.230769230769226</v>
      </c>
      <c r="AE16" s="245">
        <f t="shared" si="8"/>
        <v>94.230769230769226</v>
      </c>
    </row>
    <row r="17" spans="2:31" s="19" customFormat="1" ht="19.95" customHeight="1">
      <c r="B17" s="51" t="s">
        <v>271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165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280</v>
      </c>
      <c r="X20" s="35">
        <f t="shared" si="13"/>
        <v>12</v>
      </c>
      <c r="Y20" s="41">
        <f>W20/X20</f>
        <v>23.333333333333332</v>
      </c>
      <c r="Z20" s="44"/>
      <c r="AA20" s="43">
        <f>SUM(AA5:AA19)</f>
        <v>1531</v>
      </c>
      <c r="AB20" s="35">
        <f>SUM(AB5:AB19)</f>
        <v>54</v>
      </c>
      <c r="AC20" s="35">
        <f>AA20/AB20</f>
        <v>28.351851851851851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zoomScale="80" zoomScaleNormal="80" workbookViewId="0">
      <selection activeCell="B18" sqref="B1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09" t="s">
        <v>11</v>
      </c>
      <c r="C3" s="311" t="s">
        <v>0</v>
      </c>
      <c r="D3" s="313" t="s">
        <v>113</v>
      </c>
      <c r="E3" s="314"/>
      <c r="F3" s="314"/>
      <c r="G3" s="314"/>
      <c r="H3" s="314"/>
      <c r="I3" s="314"/>
      <c r="J3" s="314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13" t="s">
        <v>112</v>
      </c>
      <c r="Q3" s="345"/>
      <c r="R3" s="345"/>
      <c r="S3" s="345"/>
      <c r="T3" s="345"/>
      <c r="U3" s="345"/>
      <c r="V3" s="34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47" t="s">
        <v>224</v>
      </c>
    </row>
    <row r="4" spans="2:31" ht="15" thickBot="1">
      <c r="B4" s="310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1"/>
      <c r="M4" s="331"/>
      <c r="N4" s="344"/>
      <c r="O4" s="322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7"/>
      <c r="Y4" s="329"/>
      <c r="Z4" s="8"/>
      <c r="AA4" s="328"/>
      <c r="AB4" s="324"/>
      <c r="AC4" s="324"/>
      <c r="AD4" s="348"/>
    </row>
    <row r="5" spans="2:31" s="19" customFormat="1" ht="19.95" customHeight="1">
      <c r="B5" s="51" t="s">
        <v>153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/>
      <c r="S5" s="180"/>
      <c r="T5" s="180"/>
      <c r="U5" s="180"/>
      <c r="V5" s="181"/>
      <c r="W5" s="17">
        <f t="shared" ref="W5:W15" si="3">SUM(P5:V5)</f>
        <v>16</v>
      </c>
      <c r="X5" s="14">
        <f t="shared" ref="X5:X15" si="4">COUNTIF(P5:V5,"&gt;0")</f>
        <v>1</v>
      </c>
      <c r="Y5" s="101">
        <f>IF(W5=0," ",W5/X5)</f>
        <v>16</v>
      </c>
      <c r="Z5" s="18"/>
      <c r="AA5" s="17">
        <f t="shared" ref="AA5:AA15" si="5">K5+W5</f>
        <v>47</v>
      </c>
      <c r="AB5" s="14">
        <f t="shared" ref="AB5:AB15" si="6">L5+X5</f>
        <v>3</v>
      </c>
      <c r="AC5" s="14">
        <f>IF(AA5=0," ",AA5/AB5)</f>
        <v>15.666666666666666</v>
      </c>
      <c r="AD5" s="101">
        <f t="shared" ref="AD5:AD15" si="7">IF(AA5=0," ",AA5/(AB5*O5)*100)</f>
        <v>92.156862745098039</v>
      </c>
      <c r="AE5" s="245">
        <f>IF(AB5&gt;=$AE$2,AA5/(AB5*O5)*100,"0")</f>
        <v>92.156862745098039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>
        <v>33</v>
      </c>
      <c r="R6" s="183"/>
      <c r="S6" s="183"/>
      <c r="T6" s="183"/>
      <c r="U6" s="183"/>
      <c r="V6" s="184"/>
      <c r="W6" s="25">
        <f t="shared" si="3"/>
        <v>33</v>
      </c>
      <c r="X6" s="23">
        <f t="shared" si="4"/>
        <v>1</v>
      </c>
      <c r="Y6" s="24">
        <f>IF(W6=0," ",W6/X6)</f>
        <v>33</v>
      </c>
      <c r="Z6" s="18"/>
      <c r="AA6" s="25">
        <f t="shared" si="5"/>
        <v>253</v>
      </c>
      <c r="AB6" s="23">
        <f t="shared" si="6"/>
        <v>7</v>
      </c>
      <c r="AC6" s="23">
        <f>IF(AA6=0," ",AA6/AB6)</f>
        <v>36.142857142857146</v>
      </c>
      <c r="AD6" s="24">
        <f t="shared" si="7"/>
        <v>100.39682539682539</v>
      </c>
      <c r="AE6" s="245">
        <f t="shared" ref="AE6:AE19" si="8">IF(AB6&gt;=$AE$2,AA6/(AB6*O6)*100,"0")</f>
        <v>100.39682539682539</v>
      </c>
    </row>
    <row r="7" spans="2:31" s="19" customFormat="1" ht="19.95" customHeight="1">
      <c r="B7" s="51" t="s">
        <v>268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>
        <v>51</v>
      </c>
      <c r="R7" s="183"/>
      <c r="S7" s="183"/>
      <c r="T7" s="183"/>
      <c r="U7" s="183"/>
      <c r="V7" s="184"/>
      <c r="W7" s="25">
        <f t="shared" si="3"/>
        <v>51</v>
      </c>
      <c r="X7" s="23">
        <f t="shared" si="4"/>
        <v>1</v>
      </c>
      <c r="Y7" s="24">
        <f t="shared" ref="Y7:Y18" si="10">IF(W7=0," ",W7/X7)</f>
        <v>51</v>
      </c>
      <c r="Z7" s="18"/>
      <c r="AA7" s="25">
        <f t="shared" si="5"/>
        <v>296</v>
      </c>
      <c r="AB7" s="23">
        <f t="shared" si="6"/>
        <v>5</v>
      </c>
      <c r="AC7" s="23">
        <f t="shared" ref="AC7:AC15" si="11">IF(AA7=0," ",AA7/AB7)</f>
        <v>59.2</v>
      </c>
      <c r="AD7" s="24">
        <f t="shared" si="7"/>
        <v>97.049180327868854</v>
      </c>
      <c r="AE7" s="245">
        <f t="shared" si="8"/>
        <v>97.049180327868854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/>
      <c r="T9" s="183"/>
      <c r="U9" s="183"/>
      <c r="V9" s="184"/>
      <c r="W9" s="25">
        <f t="shared" si="3"/>
        <v>25</v>
      </c>
      <c r="X9" s="23">
        <f t="shared" si="4"/>
        <v>1</v>
      </c>
      <c r="Y9" s="24">
        <f t="shared" si="10"/>
        <v>25</v>
      </c>
      <c r="Z9" s="18"/>
      <c r="AA9" s="25">
        <f t="shared" si="5"/>
        <v>176</v>
      </c>
      <c r="AB9" s="23">
        <f t="shared" si="6"/>
        <v>6</v>
      </c>
      <c r="AC9" s="23">
        <f t="shared" si="11"/>
        <v>29.333333333333332</v>
      </c>
      <c r="AD9" s="24">
        <f t="shared" si="7"/>
        <v>101.14942528735634</v>
      </c>
      <c r="AE9" s="245">
        <f t="shared" si="8"/>
        <v>101.14942528735634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190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227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>
        <v>37</v>
      </c>
      <c r="R13" s="183"/>
      <c r="S13" s="183"/>
      <c r="T13" s="183"/>
      <c r="U13" s="183"/>
      <c r="V13" s="184"/>
      <c r="W13" s="25">
        <f t="shared" si="3"/>
        <v>77</v>
      </c>
      <c r="X13" s="23">
        <f t="shared" si="4"/>
        <v>2</v>
      </c>
      <c r="Y13" s="24">
        <f t="shared" si="10"/>
        <v>38.5</v>
      </c>
      <c r="Z13" s="18"/>
      <c r="AA13" s="25">
        <f t="shared" si="5"/>
        <v>263</v>
      </c>
      <c r="AB13" s="23">
        <f t="shared" si="6"/>
        <v>6</v>
      </c>
      <c r="AC13" s="23">
        <f t="shared" si="11"/>
        <v>43.833333333333336</v>
      </c>
      <c r="AD13" s="24">
        <f t="shared" si="7"/>
        <v>115.35087719298245</v>
      </c>
      <c r="AE13" s="245">
        <f t="shared" si="8"/>
        <v>115.35087719298245</v>
      </c>
    </row>
    <row r="14" spans="2:31" s="19" customFormat="1" ht="19.95" customHeight="1">
      <c r="B14" s="51" t="s">
        <v>211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>
        <v>51</v>
      </c>
      <c r="R14" s="183"/>
      <c r="S14" s="183"/>
      <c r="T14" s="183"/>
      <c r="U14" s="183"/>
      <c r="V14" s="184"/>
      <c r="W14" s="25">
        <f t="shared" si="3"/>
        <v>132</v>
      </c>
      <c r="X14" s="23">
        <f t="shared" si="4"/>
        <v>2</v>
      </c>
      <c r="Y14" s="24">
        <f t="shared" si="10"/>
        <v>66</v>
      </c>
      <c r="Z14" s="18"/>
      <c r="AA14" s="25">
        <f t="shared" si="5"/>
        <v>566</v>
      </c>
      <c r="AB14" s="23">
        <f t="shared" si="6"/>
        <v>8</v>
      </c>
      <c r="AC14" s="23">
        <f t="shared" si="11"/>
        <v>70.75</v>
      </c>
      <c r="AD14" s="24">
        <f t="shared" si="7"/>
        <v>81.321839080459768</v>
      </c>
      <c r="AE14" s="245">
        <f t="shared" si="8"/>
        <v>81.321839080459768</v>
      </c>
    </row>
    <row r="15" spans="2:31" s="19" customFormat="1" ht="19.95" customHeight="1">
      <c r="B15" s="51" t="s">
        <v>154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>
        <v>17</v>
      </c>
      <c r="R15" s="183"/>
      <c r="S15" s="183"/>
      <c r="T15" s="183"/>
      <c r="U15" s="183"/>
      <c r="V15" s="184"/>
      <c r="W15" s="25">
        <f t="shared" si="3"/>
        <v>17</v>
      </c>
      <c r="X15" s="23">
        <f t="shared" si="4"/>
        <v>1</v>
      </c>
      <c r="Y15" s="24">
        <f t="shared" si="10"/>
        <v>17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87.096774193548384</v>
      </c>
      <c r="AE15" s="245">
        <f t="shared" si="8"/>
        <v>87.096774193548384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>
        <v>21</v>
      </c>
      <c r="R16" s="183"/>
      <c r="S16" s="183"/>
      <c r="T16" s="183"/>
      <c r="U16" s="183"/>
      <c r="V16" s="184"/>
      <c r="W16" s="25">
        <f>SUM(P16:V16)</f>
        <v>21</v>
      </c>
      <c r="X16" s="23">
        <f>COUNTIF(P16:V16,"&gt;0")</f>
        <v>1</v>
      </c>
      <c r="Y16" s="24">
        <f>IF(W16=0," ",W16/X16)</f>
        <v>21</v>
      </c>
      <c r="Z16" s="18"/>
      <c r="AA16" s="25">
        <f t="shared" ref="AA16:AB19" si="12">K16+W16</f>
        <v>70</v>
      </c>
      <c r="AB16" s="23">
        <f t="shared" si="12"/>
        <v>3</v>
      </c>
      <c r="AC16" s="23">
        <f>IF(AA16=0," ",AA16/AB16)</f>
        <v>23.333333333333332</v>
      </c>
      <c r="AD16" s="24">
        <f>IF(AA16=0," ",AA16/(AB16*O16)*100)</f>
        <v>111.11111111111111</v>
      </c>
      <c r="AE16" s="245">
        <f t="shared" si="8"/>
        <v>111.11111111111111</v>
      </c>
    </row>
    <row r="17" spans="2:31" s="19" customFormat="1" ht="19.95" customHeight="1">
      <c r="B17" s="51" t="s">
        <v>234</v>
      </c>
      <c r="C17" s="176">
        <v>20</v>
      </c>
      <c r="D17" s="182"/>
      <c r="E17" s="183">
        <v>18</v>
      </c>
      <c r="F17" s="183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26</v>
      </c>
      <c r="AB17" s="23">
        <f t="shared" si="12"/>
        <v>2</v>
      </c>
      <c r="AC17" s="23">
        <f>IF(AA17=0," ",AA17/AB17)</f>
        <v>13</v>
      </c>
      <c r="AD17" s="24">
        <f>IF(AA17=0," ",AA17/(AB17*O17)*100)</f>
        <v>65</v>
      </c>
      <c r="AE17" s="245">
        <f t="shared" si="8"/>
        <v>65</v>
      </c>
    </row>
    <row r="18" spans="2:31" s="19" customFormat="1" ht="19.95" customHeight="1">
      <c r="B18" s="51" t="s">
        <v>272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/>
      <c r="S18" s="183"/>
      <c r="T18" s="183"/>
      <c r="U18" s="183"/>
      <c r="V18" s="184"/>
      <c r="W18" s="25">
        <f>SUM(P18:V18)</f>
        <v>18</v>
      </c>
      <c r="X18" s="23">
        <f>COUNTIF(P18:V18,"&gt;0")</f>
        <v>1</v>
      </c>
      <c r="Y18" s="24">
        <f t="shared" si="10"/>
        <v>18</v>
      </c>
      <c r="Z18" s="18"/>
      <c r="AA18" s="25">
        <f t="shared" si="12"/>
        <v>18</v>
      </c>
      <c r="AB18" s="23">
        <f t="shared" si="12"/>
        <v>1</v>
      </c>
      <c r="AC18" s="23">
        <f>IF(AA18=0," ",AA18/AB18)</f>
        <v>18</v>
      </c>
      <c r="AD18" s="24">
        <f>IF(AA18=0," ",AA18/(AB18*O18)*100)</f>
        <v>51.428571428571423</v>
      </c>
      <c r="AE18" s="245">
        <f t="shared" si="8"/>
        <v>51.428571428571423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473</v>
      </c>
      <c r="P20" s="39">
        <f t="shared" si="14"/>
        <v>207</v>
      </c>
      <c r="Q20" s="36">
        <f t="shared" si="14"/>
        <v>210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417</v>
      </c>
      <c r="X20" s="35">
        <f t="shared" si="14"/>
        <v>12</v>
      </c>
      <c r="Y20" s="41">
        <f>W20/X20</f>
        <v>34.75</v>
      </c>
      <c r="Z20" s="44"/>
      <c r="AA20" s="43">
        <f>SUM(AA5:AA19)</f>
        <v>2057</v>
      </c>
      <c r="AB20" s="35">
        <f>SUM(AB5:AB19)</f>
        <v>54</v>
      </c>
      <c r="AC20" s="35">
        <f>AA20/AB20</f>
        <v>38.092592592592595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AI14" sqref="AI14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6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1" ht="121.5" customHeight="1" thickBot="1">
      <c r="B3" s="309" t="s">
        <v>159</v>
      </c>
      <c r="C3" s="311" t="s">
        <v>0</v>
      </c>
      <c r="D3" s="304" t="s">
        <v>109</v>
      </c>
      <c r="E3" s="305"/>
      <c r="F3" s="305"/>
      <c r="G3" s="305"/>
      <c r="H3" s="305"/>
      <c r="I3" s="305"/>
      <c r="J3" s="305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04" t="s">
        <v>110</v>
      </c>
      <c r="Q3" s="305"/>
      <c r="R3" s="305"/>
      <c r="S3" s="305"/>
      <c r="T3" s="305"/>
      <c r="U3" s="305"/>
      <c r="V3" s="30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1" ht="15.75" customHeight="1" thickBot="1">
      <c r="B4" s="310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6"/>
      <c r="L4" s="318"/>
      <c r="M4" s="318"/>
      <c r="N4" s="320"/>
      <c r="O4" s="322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28"/>
      <c r="X4" s="324"/>
      <c r="Y4" s="326"/>
      <c r="Z4" s="8"/>
      <c r="AA4" s="330"/>
      <c r="AB4" s="337"/>
      <c r="AC4" s="337"/>
      <c r="AD4" s="329"/>
    </row>
    <row r="5" spans="2:31" s="19" customFormat="1" ht="19.95" customHeight="1">
      <c r="B5" s="51" t="s">
        <v>160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>
        <v>38</v>
      </c>
      <c r="R5" s="180"/>
      <c r="S5" s="180"/>
      <c r="T5" s="180"/>
      <c r="U5" s="180"/>
      <c r="V5" s="181"/>
      <c r="W5" s="17">
        <f t="shared" ref="W5:W14" si="3">SUM(P5:V5)</f>
        <v>105</v>
      </c>
      <c r="X5" s="14">
        <f t="shared" ref="X5:X14" si="4">COUNTIF(P5:V5,"&gt;0")</f>
        <v>2</v>
      </c>
      <c r="Y5" s="101">
        <f>IF(W5=0," ",W5/X5)</f>
        <v>52.5</v>
      </c>
      <c r="Z5" s="18"/>
      <c r="AA5" s="17">
        <f t="shared" ref="AA5:AA14" si="5">K5+W5</f>
        <v>234</v>
      </c>
      <c r="AB5" s="14">
        <f t="shared" ref="AB5:AB14" si="6">L5+X5</f>
        <v>6</v>
      </c>
      <c r="AC5" s="14">
        <f>IF(AA5=0," ",AA5/AB5)</f>
        <v>39</v>
      </c>
      <c r="AD5" s="101">
        <f t="shared" ref="AD5:AD14" si="7">IF(AA5=0," ",AA5/(AB5*O5)*100)</f>
        <v>84.782608695652172</v>
      </c>
      <c r="AE5" s="245">
        <f>IF(AB5&gt;=$AE$2,AA5/(AB5*O5)*100,"0")</f>
        <v>84.782608695652172</v>
      </c>
    </row>
    <row r="6" spans="2:31" s="19" customFormat="1" ht="19.95" customHeight="1">
      <c r="B6" s="51" t="s">
        <v>161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>
        <v>37</v>
      </c>
      <c r="R6" s="183"/>
      <c r="S6" s="183"/>
      <c r="T6" s="183"/>
      <c r="U6" s="183"/>
      <c r="V6" s="184"/>
      <c r="W6" s="25">
        <f t="shared" si="3"/>
        <v>79</v>
      </c>
      <c r="X6" s="23">
        <f t="shared" si="4"/>
        <v>2</v>
      </c>
      <c r="Y6" s="24">
        <f>IF(W6=0," ",W6/X6)</f>
        <v>39.5</v>
      </c>
      <c r="Z6" s="18"/>
      <c r="AA6" s="25">
        <f t="shared" si="5"/>
        <v>255</v>
      </c>
      <c r="AB6" s="23">
        <f t="shared" si="6"/>
        <v>7</v>
      </c>
      <c r="AC6" s="23">
        <f>IF(AA6=0," ",AA6/AB6)</f>
        <v>36.428571428571431</v>
      </c>
      <c r="AD6" s="24">
        <f t="shared" si="7"/>
        <v>125.61576354679802</v>
      </c>
      <c r="AE6" s="245">
        <f t="shared" ref="AE6:AE19" si="9">IF(AB6&gt;=$AE$2,AA6/(AB6*O6)*100,"0")</f>
        <v>125.61576354679802</v>
      </c>
    </row>
    <row r="7" spans="2:31" s="19" customFormat="1" ht="19.95" customHeight="1">
      <c r="B7" s="51" t="s">
        <v>162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>
        <v>29</v>
      </c>
      <c r="R7" s="183"/>
      <c r="S7" s="183"/>
      <c r="T7" s="183"/>
      <c r="U7" s="183"/>
      <c r="V7" s="184"/>
      <c r="W7" s="25">
        <f t="shared" si="3"/>
        <v>29</v>
      </c>
      <c r="X7" s="23">
        <f t="shared" si="4"/>
        <v>1</v>
      </c>
      <c r="Y7" s="24">
        <f t="shared" ref="Y7:Y19" si="10">IF(W7=0," ",W7/X7)</f>
        <v>29</v>
      </c>
      <c r="Z7" s="18"/>
      <c r="AA7" s="25">
        <f t="shared" si="5"/>
        <v>164</v>
      </c>
      <c r="AB7" s="23">
        <f t="shared" si="6"/>
        <v>5</v>
      </c>
      <c r="AC7" s="23">
        <f t="shared" ref="AC7:AC19" si="11">IF(AA7=0," ",AA7/AB7)</f>
        <v>32.799999999999997</v>
      </c>
      <c r="AD7" s="24">
        <f t="shared" si="7"/>
        <v>88.64864864864866</v>
      </c>
      <c r="AE7" s="245">
        <f t="shared" si="9"/>
        <v>88.64864864864866</v>
      </c>
    </row>
    <row r="8" spans="2:31" s="19" customFormat="1" ht="19.95" customHeight="1">
      <c r="B8" s="51" t="s">
        <v>191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>
        <v>53</v>
      </c>
      <c r="R8" s="183"/>
      <c r="S8" s="183"/>
      <c r="T8" s="183"/>
      <c r="U8" s="183"/>
      <c r="V8" s="184"/>
      <c r="W8" s="25">
        <f t="shared" si="3"/>
        <v>53</v>
      </c>
      <c r="X8" s="23">
        <f t="shared" si="4"/>
        <v>1</v>
      </c>
      <c r="Y8" s="24">
        <f t="shared" si="10"/>
        <v>53</v>
      </c>
      <c r="Z8" s="18"/>
      <c r="AA8" s="25">
        <f t="shared" si="5"/>
        <v>338</v>
      </c>
      <c r="AB8" s="23">
        <f t="shared" si="6"/>
        <v>7</v>
      </c>
      <c r="AC8" s="23">
        <f t="shared" si="11"/>
        <v>48.285714285714285</v>
      </c>
      <c r="AD8" s="24">
        <f t="shared" si="7"/>
        <v>104.96894409937889</v>
      </c>
      <c r="AE8" s="245">
        <f t="shared" si="9"/>
        <v>104.96894409937889</v>
      </c>
    </row>
    <row r="9" spans="2:31" s="19" customFormat="1" ht="19.95" customHeight="1">
      <c r="B9" s="51" t="s">
        <v>163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>
        <v>36</v>
      </c>
      <c r="R9" s="183"/>
      <c r="S9" s="183"/>
      <c r="T9" s="183"/>
      <c r="U9" s="183"/>
      <c r="V9" s="184"/>
      <c r="W9" s="25">
        <f t="shared" si="3"/>
        <v>36</v>
      </c>
      <c r="X9" s="23">
        <f t="shared" si="4"/>
        <v>1</v>
      </c>
      <c r="Y9" s="24">
        <f t="shared" si="10"/>
        <v>36</v>
      </c>
      <c r="Z9" s="18"/>
      <c r="AA9" s="25">
        <f t="shared" si="5"/>
        <v>128</v>
      </c>
      <c r="AB9" s="23">
        <f t="shared" si="6"/>
        <v>5</v>
      </c>
      <c r="AC9" s="23">
        <f t="shared" si="11"/>
        <v>25.6</v>
      </c>
      <c r="AD9" s="24">
        <f t="shared" si="7"/>
        <v>94.814814814814824</v>
      </c>
      <c r="AE9" s="245">
        <f t="shared" si="9"/>
        <v>94.814814814814824</v>
      </c>
    </row>
    <row r="10" spans="2:31" s="19" customFormat="1" ht="19.95" customHeight="1">
      <c r="B10" s="51" t="s">
        <v>164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9"/>
        <v>0</v>
      </c>
    </row>
    <row r="11" spans="2:31" s="19" customFormat="1" ht="19.95" customHeight="1">
      <c r="B11" s="51" t="s">
        <v>243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263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>
        <v>69</v>
      </c>
      <c r="R12" s="183"/>
      <c r="S12" s="183"/>
      <c r="T12" s="183"/>
      <c r="U12" s="183"/>
      <c r="V12" s="184"/>
      <c r="W12" s="25">
        <f t="shared" si="3"/>
        <v>113</v>
      </c>
      <c r="X12" s="23">
        <f t="shared" si="4"/>
        <v>2</v>
      </c>
      <c r="Y12" s="24">
        <f t="shared" si="10"/>
        <v>56.5</v>
      </c>
      <c r="Z12" s="18"/>
      <c r="AA12" s="25">
        <f t="shared" si="5"/>
        <v>321</v>
      </c>
      <c r="AB12" s="23">
        <f t="shared" si="6"/>
        <v>7</v>
      </c>
      <c r="AC12" s="23">
        <f t="shared" si="11"/>
        <v>45.857142857142854</v>
      </c>
      <c r="AD12" s="24">
        <f t="shared" si="7"/>
        <v>109.18367346938776</v>
      </c>
      <c r="AE12" s="245">
        <f t="shared" si="9"/>
        <v>109.18367346938776</v>
      </c>
    </row>
    <row r="13" spans="2:31" s="19" customFormat="1" ht="19.95" customHeight="1">
      <c r="B13" s="88" t="s">
        <v>165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166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/>
      <c r="S14" s="183"/>
      <c r="T14" s="183"/>
      <c r="U14" s="183"/>
      <c r="V14" s="184"/>
      <c r="W14" s="25">
        <f t="shared" si="3"/>
        <v>44</v>
      </c>
      <c r="X14" s="23">
        <f t="shared" si="4"/>
        <v>1</v>
      </c>
      <c r="Y14" s="24">
        <f t="shared" si="10"/>
        <v>44</v>
      </c>
      <c r="Z14" s="18"/>
      <c r="AA14" s="25">
        <f t="shared" si="5"/>
        <v>166</v>
      </c>
      <c r="AB14" s="23">
        <f t="shared" si="6"/>
        <v>4</v>
      </c>
      <c r="AC14" s="23">
        <f t="shared" si="11"/>
        <v>41.5</v>
      </c>
      <c r="AD14" s="24">
        <f t="shared" si="7"/>
        <v>98.80952380952381</v>
      </c>
      <c r="AE14" s="245">
        <f t="shared" si="9"/>
        <v>98.80952380952381</v>
      </c>
    </row>
    <row r="15" spans="2:31" s="19" customFormat="1" ht="19.95" customHeight="1">
      <c r="B15" s="51" t="s">
        <v>167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/>
      <c r="T15" s="183"/>
      <c r="U15" s="183"/>
      <c r="V15" s="184"/>
      <c r="W15" s="25">
        <f>SUM(P15:V15)</f>
        <v>23</v>
      </c>
      <c r="X15" s="23">
        <f>COUNTIF(P15:V15,"&gt;0")</f>
        <v>1</v>
      </c>
      <c r="Y15" s="24">
        <f>IF(W15=0," ",W15/X15)</f>
        <v>23</v>
      </c>
      <c r="Z15" s="18"/>
      <c r="AA15" s="25">
        <f t="shared" ref="AA15:AB19" si="12">K15+W15</f>
        <v>139</v>
      </c>
      <c r="AB15" s="23">
        <f t="shared" si="12"/>
        <v>4</v>
      </c>
      <c r="AC15" s="23">
        <f>IF(AA15=0," ",AA15/AB15)</f>
        <v>34.75</v>
      </c>
      <c r="AD15" s="24">
        <f>IF(AA15=0," ",AA15/(AB15*O15)*100)</f>
        <v>124.10714285714286</v>
      </c>
      <c r="AE15" s="245">
        <f t="shared" si="9"/>
        <v>124.10714285714286</v>
      </c>
    </row>
    <row r="16" spans="2:31" s="19" customFormat="1" ht="19.95" customHeight="1">
      <c r="B16" s="51" t="s">
        <v>168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/>
      <c r="S16" s="183"/>
      <c r="T16" s="183"/>
      <c r="U16" s="183"/>
      <c r="V16" s="184"/>
      <c r="W16" s="25">
        <f>SUM(P16:V16)</f>
        <v>43</v>
      </c>
      <c r="X16" s="23">
        <f>COUNTIF(P16:V16,"&gt;0")</f>
        <v>1</v>
      </c>
      <c r="Y16" s="24">
        <f>IF(W16=0," ",W16/X16)</f>
        <v>43</v>
      </c>
      <c r="Z16" s="18"/>
      <c r="AA16" s="25">
        <f t="shared" si="12"/>
        <v>244</v>
      </c>
      <c r="AB16" s="23">
        <f t="shared" si="12"/>
        <v>6</v>
      </c>
      <c r="AC16" s="23">
        <f>IF(AA16=0," ",AA16/AB16)</f>
        <v>40.666666666666664</v>
      </c>
      <c r="AD16" s="24">
        <f>IF(AA16=0," ",AA16/(AB16*O16)*100)</f>
        <v>86.524822695035468</v>
      </c>
      <c r="AE16" s="245">
        <f t="shared" si="9"/>
        <v>86.524822695035468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9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str">
        <f t="shared" si="9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9"/>
        <v>0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262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525</v>
      </c>
      <c r="X20" s="35">
        <f t="shared" si="14"/>
        <v>12</v>
      </c>
      <c r="Y20" s="41">
        <f>W20/X20</f>
        <v>43.75</v>
      </c>
      <c r="Z20" s="44"/>
      <c r="AA20" s="43">
        <f>SUM(AA5:AA19)</f>
        <v>2217</v>
      </c>
      <c r="AB20" s="35">
        <f>SUM(AB5:AB19)</f>
        <v>54</v>
      </c>
      <c r="AC20" s="35">
        <f>AA20/AB20</f>
        <v>41.055555555555557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  <mergeCell ref="AC3:AC4"/>
    <mergeCell ref="AD3:AD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AG4" sqref="AG4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06" t="s">
        <v>223</v>
      </c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1"/>
      <c r="AA2" s="307" t="s">
        <v>7</v>
      </c>
      <c r="AB2" s="307"/>
      <c r="AC2" s="307"/>
      <c r="AD2" s="308"/>
      <c r="AE2">
        <f>IF(Rangschikking!A3&gt;=15,0,Rangschikking!A3)</f>
        <v>1</v>
      </c>
    </row>
    <row r="3" spans="2:36" ht="121.5" customHeight="1" thickBot="1">
      <c r="B3" s="332" t="s">
        <v>198</v>
      </c>
      <c r="C3" s="311" t="s">
        <v>0</v>
      </c>
      <c r="D3" s="313" t="s">
        <v>109</v>
      </c>
      <c r="E3" s="314"/>
      <c r="F3" s="314"/>
      <c r="G3" s="314"/>
      <c r="H3" s="314"/>
      <c r="I3" s="314"/>
      <c r="J3" s="314"/>
      <c r="K3" s="315" t="s">
        <v>1</v>
      </c>
      <c r="L3" s="317" t="s">
        <v>2</v>
      </c>
      <c r="M3" s="317" t="s">
        <v>3</v>
      </c>
      <c r="N3" s="319" t="s">
        <v>224</v>
      </c>
      <c r="O3" s="321" t="s">
        <v>4</v>
      </c>
      <c r="P3" s="313" t="s">
        <v>115</v>
      </c>
      <c r="Q3" s="345"/>
      <c r="R3" s="345"/>
      <c r="S3" s="345"/>
      <c r="T3" s="345"/>
      <c r="U3" s="345"/>
      <c r="V3" s="345"/>
      <c r="W3" s="327" t="s">
        <v>1</v>
      </c>
      <c r="X3" s="323" t="s">
        <v>2</v>
      </c>
      <c r="Y3" s="325" t="s">
        <v>5</v>
      </c>
      <c r="Z3" s="7"/>
      <c r="AA3" s="327" t="s">
        <v>1</v>
      </c>
      <c r="AB3" s="323" t="s">
        <v>2</v>
      </c>
      <c r="AC3" s="323" t="s">
        <v>6</v>
      </c>
      <c r="AD3" s="325" t="s">
        <v>224</v>
      </c>
    </row>
    <row r="4" spans="2:36" ht="15" thickBot="1">
      <c r="B4" s="346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6"/>
      <c r="L4" s="318"/>
      <c r="M4" s="318"/>
      <c r="N4" s="320"/>
      <c r="O4" s="322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0"/>
      <c r="X4" s="337"/>
      <c r="Y4" s="329"/>
      <c r="Z4" s="8"/>
      <c r="AA4" s="330"/>
      <c r="AB4" s="337"/>
      <c r="AC4" s="337"/>
      <c r="AD4" s="329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>
        <v>22</v>
      </c>
      <c r="R5" s="237"/>
      <c r="S5" s="180"/>
      <c r="T5" s="180"/>
      <c r="U5" s="180"/>
      <c r="V5" s="181"/>
      <c r="W5" s="17">
        <f t="shared" ref="W5:W19" si="3">SUM(P5:V5)</f>
        <v>35</v>
      </c>
      <c r="X5" s="14">
        <f t="shared" ref="X5:X19" si="4">COUNTIF(P5:V5,"&gt;0")</f>
        <v>2</v>
      </c>
      <c r="Y5" s="101">
        <f>IF(W5=0," ",W5/X5)</f>
        <v>17.5</v>
      </c>
      <c r="Z5" s="18"/>
      <c r="AA5" s="17">
        <f t="shared" ref="AA5:AA19" si="5">K5+W5</f>
        <v>134</v>
      </c>
      <c r="AB5" s="14">
        <f t="shared" ref="AB5:AB19" si="6">L5+X5</f>
        <v>6</v>
      </c>
      <c r="AC5" s="14">
        <f>IF(AA5=0," ",AA5/AB5)</f>
        <v>22.333333333333332</v>
      </c>
      <c r="AD5" s="101">
        <f t="shared" ref="AD5:AD17" si="7">IF(AA5=0," ",AA5/(AB5*O5)*100)</f>
        <v>89.333333333333329</v>
      </c>
      <c r="AE5" s="245">
        <f>IF(AB5&gt;=$AE$2,AA5/(AB5*O5)*100,"0")</f>
        <v>89.333333333333329</v>
      </c>
    </row>
    <row r="6" spans="2:36" s="19" customFormat="1" ht="19.95" customHeight="1">
      <c r="B6" s="51" t="s">
        <v>253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  <c r="AE6" s="245">
        <f t="shared" ref="AE6:AE19" si="8">IF(AB6&gt;=$AE$2,AA6/(AB6*O6)*100,"0")</f>
        <v>94.444444444444443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>
        <v>24</v>
      </c>
      <c r="R7" s="183"/>
      <c r="S7" s="183"/>
      <c r="T7" s="183"/>
      <c r="U7" s="183"/>
      <c r="V7" s="184"/>
      <c r="W7" s="25">
        <f t="shared" si="3"/>
        <v>54</v>
      </c>
      <c r="X7" s="23">
        <f t="shared" si="4"/>
        <v>2</v>
      </c>
      <c r="Y7" s="24">
        <f t="shared" ref="Y7:Y17" si="10">IF(W7=0," ",W7/X7)</f>
        <v>27</v>
      </c>
      <c r="Z7" s="18"/>
      <c r="AA7" s="25">
        <f t="shared" si="5"/>
        <v>202</v>
      </c>
      <c r="AB7" s="23">
        <f t="shared" si="6"/>
        <v>7</v>
      </c>
      <c r="AC7" s="23">
        <f t="shared" ref="AC7:AC17" si="11">IF(AA7=0," ",AA7/AB7)</f>
        <v>28.857142857142858</v>
      </c>
      <c r="AD7" s="24">
        <f t="shared" si="7"/>
        <v>120.23809523809523</v>
      </c>
      <c r="AE7" s="245">
        <f t="shared" si="8"/>
        <v>120.23809523809523</v>
      </c>
    </row>
    <row r="8" spans="2:36" s="19" customFormat="1" ht="19.95" customHeight="1">
      <c r="B8" s="51" t="s">
        <v>193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>
        <v>63</v>
      </c>
      <c r="R8" s="183"/>
      <c r="S8" s="183"/>
      <c r="T8" s="183"/>
      <c r="U8" s="183"/>
      <c r="V8" s="184"/>
      <c r="W8" s="25">
        <f t="shared" si="3"/>
        <v>63</v>
      </c>
      <c r="X8" s="23">
        <f t="shared" si="4"/>
        <v>1</v>
      </c>
      <c r="Y8" s="24">
        <f t="shared" si="10"/>
        <v>63</v>
      </c>
      <c r="Z8" s="18"/>
      <c r="AA8" s="25">
        <f t="shared" si="5"/>
        <v>189</v>
      </c>
      <c r="AB8" s="23">
        <f t="shared" si="6"/>
        <v>5</v>
      </c>
      <c r="AC8" s="23">
        <f t="shared" si="11"/>
        <v>37.799999999999997</v>
      </c>
      <c r="AD8" s="24">
        <f t="shared" si="7"/>
        <v>92.195121951219519</v>
      </c>
      <c r="AE8" s="245">
        <f t="shared" si="8"/>
        <v>92.195121951219519</v>
      </c>
    </row>
    <row r="9" spans="2:36" s="19" customFormat="1" ht="19.95" customHeight="1">
      <c r="B9" s="51" t="s">
        <v>266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/>
      <c r="S9" s="183"/>
      <c r="T9" s="183"/>
      <c r="U9" s="183"/>
      <c r="V9" s="184"/>
      <c r="W9" s="25">
        <f t="shared" si="3"/>
        <v>26</v>
      </c>
      <c r="X9" s="23">
        <f t="shared" si="4"/>
        <v>1</v>
      </c>
      <c r="Y9" s="24">
        <f t="shared" si="10"/>
        <v>26</v>
      </c>
      <c r="Z9" s="18"/>
      <c r="AA9" s="25">
        <f t="shared" si="5"/>
        <v>139</v>
      </c>
      <c r="AB9" s="23">
        <f t="shared" si="6"/>
        <v>5</v>
      </c>
      <c r="AC9" s="23">
        <f t="shared" si="11"/>
        <v>27.8</v>
      </c>
      <c r="AD9" s="24">
        <f t="shared" si="7"/>
        <v>99.285714285714292</v>
      </c>
      <c r="AE9" s="245">
        <f t="shared" si="8"/>
        <v>99.285714285714292</v>
      </c>
    </row>
    <row r="10" spans="2:36" s="19" customFormat="1" ht="19.95" customHeight="1">
      <c r="B10" s="51" t="s">
        <v>267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>
        <v>14</v>
      </c>
      <c r="R10" s="183"/>
      <c r="S10" s="183"/>
      <c r="T10" s="183"/>
      <c r="U10" s="183"/>
      <c r="V10" s="184"/>
      <c r="W10" s="25">
        <f t="shared" si="3"/>
        <v>14</v>
      </c>
      <c r="X10" s="23">
        <f t="shared" si="4"/>
        <v>1</v>
      </c>
      <c r="Y10" s="24">
        <f t="shared" si="10"/>
        <v>14</v>
      </c>
      <c r="Z10" s="18"/>
      <c r="AA10" s="25">
        <f t="shared" si="5"/>
        <v>85</v>
      </c>
      <c r="AB10" s="23">
        <f t="shared" si="6"/>
        <v>4</v>
      </c>
      <c r="AC10" s="23">
        <f t="shared" si="11"/>
        <v>21.25</v>
      </c>
      <c r="AD10" s="24">
        <f t="shared" si="7"/>
        <v>88.541666666666657</v>
      </c>
      <c r="AE10" s="245">
        <f t="shared" si="8"/>
        <v>88.541666666666657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>
        <v>53</v>
      </c>
      <c r="R12" s="183"/>
      <c r="S12" s="183"/>
      <c r="T12" s="183"/>
      <c r="U12" s="183"/>
      <c r="V12" s="184"/>
      <c r="W12" s="25">
        <f t="shared" si="3"/>
        <v>53</v>
      </c>
      <c r="X12" s="23">
        <f t="shared" si="4"/>
        <v>1</v>
      </c>
      <c r="Y12" s="24">
        <f t="shared" si="10"/>
        <v>53</v>
      </c>
      <c r="Z12" s="18"/>
      <c r="AA12" s="25">
        <f t="shared" si="5"/>
        <v>163</v>
      </c>
      <c r="AB12" s="23">
        <f t="shared" si="6"/>
        <v>4</v>
      </c>
      <c r="AC12" s="23">
        <f t="shared" si="11"/>
        <v>40.75</v>
      </c>
      <c r="AD12" s="24">
        <f t="shared" si="7"/>
        <v>104.48717948717949</v>
      </c>
      <c r="AE12" s="245">
        <f t="shared" si="8"/>
        <v>104.48717948717949</v>
      </c>
    </row>
    <row r="13" spans="2:36" s="19" customFormat="1" ht="19.95" customHeight="1">
      <c r="B13" s="51" t="s">
        <v>192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/>
      <c r="S13" s="183"/>
      <c r="T13" s="183"/>
      <c r="U13" s="183"/>
      <c r="V13" s="184"/>
      <c r="W13" s="25">
        <f t="shared" si="3"/>
        <v>41</v>
      </c>
      <c r="X13" s="23">
        <f t="shared" si="4"/>
        <v>1</v>
      </c>
      <c r="Y13" s="24">
        <f t="shared" si="10"/>
        <v>41</v>
      </c>
      <c r="Z13" s="18"/>
      <c r="AA13" s="25">
        <f t="shared" si="5"/>
        <v>139</v>
      </c>
      <c r="AB13" s="23">
        <f t="shared" si="6"/>
        <v>5</v>
      </c>
      <c r="AC13" s="23">
        <f t="shared" si="11"/>
        <v>27.8</v>
      </c>
      <c r="AD13" s="24">
        <f t="shared" si="7"/>
        <v>99.285714285714292</v>
      </c>
      <c r="AE13" s="245">
        <f t="shared" si="8"/>
        <v>99.285714285714292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>
        <v>21</v>
      </c>
      <c r="R14" s="183"/>
      <c r="S14" s="183"/>
      <c r="T14" s="183"/>
      <c r="U14" s="183"/>
      <c r="V14" s="184"/>
      <c r="W14" s="25">
        <f t="shared" si="3"/>
        <v>43</v>
      </c>
      <c r="X14" s="23">
        <f t="shared" si="4"/>
        <v>2</v>
      </c>
      <c r="Y14" s="24">
        <f t="shared" si="10"/>
        <v>21.5</v>
      </c>
      <c r="Z14" s="18"/>
      <c r="AA14" s="25">
        <f t="shared" si="5"/>
        <v>105</v>
      </c>
      <c r="AB14" s="23">
        <f t="shared" si="6"/>
        <v>5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157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/>
      <c r="T15" s="183"/>
      <c r="U15" s="183"/>
      <c r="V15" s="184"/>
      <c r="W15" s="25">
        <f t="shared" si="3"/>
        <v>23</v>
      </c>
      <c r="X15" s="23">
        <f t="shared" si="4"/>
        <v>1</v>
      </c>
      <c r="Y15" s="24">
        <f t="shared" si="10"/>
        <v>23</v>
      </c>
      <c r="Z15" s="18"/>
      <c r="AA15" s="25">
        <f t="shared" si="5"/>
        <v>96</v>
      </c>
      <c r="AB15" s="23">
        <f t="shared" si="6"/>
        <v>5</v>
      </c>
      <c r="AC15" s="23">
        <f t="shared" si="11"/>
        <v>19.2</v>
      </c>
      <c r="AD15" s="24">
        <f t="shared" si="7"/>
        <v>87.272727272727266</v>
      </c>
      <c r="AE15" s="245">
        <f t="shared" si="8"/>
        <v>87.272727272727266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>SUM(Q5:Q19)</f>
        <v>197</v>
      </c>
      <c r="R20" s="36">
        <f>SUM(R5:R19)</f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352</v>
      </c>
      <c r="X20" s="35">
        <f t="shared" si="13"/>
        <v>12</v>
      </c>
      <c r="Y20" s="41">
        <f>W20/X20</f>
        <v>29.333333333333332</v>
      </c>
      <c r="Z20" s="44"/>
      <c r="AA20" s="43">
        <f>SUM(AA5:AA19)</f>
        <v>1407</v>
      </c>
      <c r="AB20" s="35">
        <f>SUM(AB5:AB19)</f>
        <v>54</v>
      </c>
      <c r="AC20" s="35">
        <f>AA20/AB20</f>
        <v>26.055555555555557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39" zoomScaleNormal="100" workbookViewId="0">
      <selection activeCell="N39" sqref="N39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6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208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196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155</v>
      </c>
      <c r="C21" s="52"/>
      <c r="E21" s="71" t="s">
        <v>182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30" t="str">
        <f>Oudeglorie!B14</f>
        <v>Nelen Jef  [NS 25]</v>
      </c>
      <c r="C31" s="243">
        <f>Oudeglorie!O14</f>
        <v>24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14" t="str">
        <f>Wildert1!B17</f>
        <v>Wetzer Rik  (ns)</v>
      </c>
      <c r="I33" s="177">
        <f>Wildert1!O17</f>
        <v>20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432</v>
      </c>
      <c r="E37" s="118"/>
      <c r="F37" s="158">
        <f>SUM(F22:F36)</f>
        <v>466</v>
      </c>
      <c r="H37" s="159"/>
      <c r="I37" s="158">
        <f>SUM(I22:I36)</f>
        <v>452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159</v>
      </c>
      <c r="C39" s="111"/>
      <c r="E39" s="71" t="s">
        <v>198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9" t="s">
        <v>241</v>
      </c>
      <c r="D2" s="349"/>
      <c r="E2" s="349"/>
      <c r="F2" s="349"/>
      <c r="G2" s="349"/>
      <c r="H2" s="349"/>
      <c r="I2" s="349"/>
    </row>
    <row r="3" spans="1:11" s="72" customFormat="1" ht="20.100000000000001" customHeight="1">
      <c r="C3" s="350" t="s">
        <v>57</v>
      </c>
      <c r="D3" s="350"/>
      <c r="E3" s="350"/>
      <c r="F3" s="350"/>
      <c r="G3" s="350"/>
      <c r="H3" s="350"/>
      <c r="I3" s="350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156</v>
      </c>
      <c r="C8" s="190" t="s">
        <v>235</v>
      </c>
      <c r="D8" s="190" t="s">
        <v>12</v>
      </c>
      <c r="E8" s="190" t="s">
        <v>236</v>
      </c>
      <c r="F8" s="191">
        <v>2910</v>
      </c>
      <c r="G8" s="191" t="s">
        <v>60</v>
      </c>
      <c r="H8" s="192"/>
      <c r="I8" s="190" t="s">
        <v>237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235</v>
      </c>
      <c r="D11" s="195" t="s">
        <v>230</v>
      </c>
      <c r="E11" s="195" t="s">
        <v>231</v>
      </c>
      <c r="F11" s="197">
        <v>2910</v>
      </c>
      <c r="G11" s="197" t="s">
        <v>60</v>
      </c>
      <c r="H11" s="198"/>
      <c r="I11" s="195" t="s">
        <v>252</v>
      </c>
      <c r="J11" s="199" t="s">
        <v>238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232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240</v>
      </c>
      <c r="C14" s="202" t="s">
        <v>235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235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239</v>
      </c>
      <c r="C20" s="202" t="s">
        <v>235</v>
      </c>
      <c r="D20" s="190" t="s">
        <v>92</v>
      </c>
      <c r="E20" s="190" t="s">
        <v>250</v>
      </c>
      <c r="F20" s="191">
        <v>2950</v>
      </c>
      <c r="G20" s="191" t="s">
        <v>251</v>
      </c>
      <c r="H20" s="192" t="s">
        <v>59</v>
      </c>
      <c r="I20" s="190" t="s">
        <v>195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235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158</v>
      </c>
      <c r="C26" s="202" t="s">
        <v>235</v>
      </c>
      <c r="D26" s="190" t="s">
        <v>165</v>
      </c>
      <c r="E26" s="190" t="s">
        <v>169</v>
      </c>
      <c r="F26" s="191">
        <v>2910</v>
      </c>
      <c r="G26" s="191" t="s">
        <v>60</v>
      </c>
      <c r="H26" s="191"/>
      <c r="I26" s="190" t="s">
        <v>170</v>
      </c>
      <c r="J26" s="193" t="s">
        <v>171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172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235</v>
      </c>
      <c r="D29" s="196" t="s">
        <v>199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200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201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203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177</v>
      </c>
    </row>
    <row r="5" spans="2:10" s="74" customFormat="1" ht="1.95" customHeight="1">
      <c r="B5" s="79"/>
      <c r="C5" s="78"/>
      <c r="G5" s="75"/>
      <c r="J5" s="75" t="s">
        <v>177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156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178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178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197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179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180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179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233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158</v>
      </c>
      <c r="C21" s="74" t="s">
        <v>173</v>
      </c>
      <c r="D21" s="74" t="s">
        <v>174</v>
      </c>
      <c r="E21" s="74">
        <v>2910</v>
      </c>
      <c r="F21" s="74" t="s">
        <v>60</v>
      </c>
      <c r="G21" s="75" t="s">
        <v>101</v>
      </c>
      <c r="H21" s="74" t="s">
        <v>175</v>
      </c>
      <c r="J21" s="75" t="s">
        <v>181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178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204</v>
      </c>
      <c r="D32" s="74" t="s">
        <v>205</v>
      </c>
      <c r="E32">
        <v>2910</v>
      </c>
      <c r="F32" t="s">
        <v>60</v>
      </c>
      <c r="G32" s="52"/>
      <c r="H32" s="74" t="s">
        <v>206</v>
      </c>
      <c r="I32" s="73" t="s">
        <v>207</v>
      </c>
      <c r="J32" s="75"/>
    </row>
    <row r="34" spans="2:9" ht="15.6">
      <c r="B34" s="74"/>
      <c r="H34" s="222" t="s">
        <v>255</v>
      </c>
      <c r="I34" s="73" t="s">
        <v>256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06" t="s">
        <v>132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51"/>
      <c r="R1" s="351"/>
      <c r="S1" s="351"/>
      <c r="T1" s="351"/>
      <c r="U1" s="351"/>
      <c r="V1" s="351"/>
      <c r="W1" s="351"/>
      <c r="X1" s="351"/>
      <c r="Y1" s="351"/>
      <c r="Z1" s="307"/>
      <c r="AA1" s="307"/>
      <c r="AB1" s="307"/>
      <c r="AC1" s="1"/>
      <c r="AD1" s="307" t="s">
        <v>7</v>
      </c>
      <c r="AE1" s="307"/>
      <c r="AF1" s="307"/>
      <c r="AG1" s="308"/>
    </row>
    <row r="2" spans="1:33" ht="112.2" customHeight="1" thickBot="1">
      <c r="A2" s="309" t="s">
        <v>140</v>
      </c>
      <c r="B2" s="352" t="s">
        <v>0</v>
      </c>
      <c r="C2" s="304" t="s">
        <v>133</v>
      </c>
      <c r="D2" s="334"/>
      <c r="E2" s="334"/>
      <c r="F2" s="334"/>
      <c r="G2" s="334"/>
      <c r="H2" s="334"/>
      <c r="I2" s="334"/>
      <c r="J2" s="334"/>
      <c r="K2" s="141"/>
      <c r="L2" s="315" t="s">
        <v>1</v>
      </c>
      <c r="M2" s="317" t="s">
        <v>2</v>
      </c>
      <c r="N2" s="317" t="s">
        <v>3</v>
      </c>
      <c r="O2" s="319" t="s">
        <v>128</v>
      </c>
      <c r="P2" s="354" t="s">
        <v>4</v>
      </c>
      <c r="Q2" s="304" t="s">
        <v>134</v>
      </c>
      <c r="R2" s="305"/>
      <c r="S2" s="305"/>
      <c r="T2" s="305"/>
      <c r="U2" s="305"/>
      <c r="V2" s="305"/>
      <c r="W2" s="305"/>
      <c r="X2" s="305"/>
      <c r="Y2" s="140"/>
      <c r="Z2" s="327" t="s">
        <v>1</v>
      </c>
      <c r="AA2" s="323" t="s">
        <v>2</v>
      </c>
      <c r="AB2" s="325" t="s">
        <v>5</v>
      </c>
      <c r="AC2" s="7"/>
      <c r="AD2" s="327" t="s">
        <v>1</v>
      </c>
      <c r="AE2" s="323" t="s">
        <v>2</v>
      </c>
      <c r="AF2" s="323" t="s">
        <v>6</v>
      </c>
      <c r="AG2" s="325" t="s">
        <v>128</v>
      </c>
    </row>
    <row r="3" spans="1:33" ht="15" thickBot="1">
      <c r="A3" s="310"/>
      <c r="B3" s="353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3"/>
      <c r="M3" s="331"/>
      <c r="N3" s="331"/>
      <c r="O3" s="344"/>
      <c r="P3" s="322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30"/>
      <c r="AA3" s="337"/>
      <c r="AB3" s="329"/>
      <c r="AC3" s="8"/>
      <c r="AD3" s="330"/>
      <c r="AE3" s="337"/>
      <c r="AF3" s="337"/>
      <c r="AG3" s="329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Z2:Z3"/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6" t="s">
        <v>127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1"/>
      <c r="Z1" s="307" t="s">
        <v>7</v>
      </c>
      <c r="AA1" s="307"/>
      <c r="AB1" s="307"/>
      <c r="AC1" s="308"/>
    </row>
    <row r="2" spans="1:29" ht="121.5" customHeight="1" thickBot="1">
      <c r="A2" s="332" t="s">
        <v>93</v>
      </c>
      <c r="B2" s="311" t="s">
        <v>0</v>
      </c>
      <c r="C2" s="313" t="s">
        <v>8</v>
      </c>
      <c r="D2" s="314"/>
      <c r="E2" s="314"/>
      <c r="F2" s="314"/>
      <c r="G2" s="314"/>
      <c r="H2" s="314"/>
      <c r="I2" s="314"/>
      <c r="J2" s="315" t="s">
        <v>1</v>
      </c>
      <c r="K2" s="317" t="s">
        <v>2</v>
      </c>
      <c r="L2" s="317" t="s">
        <v>3</v>
      </c>
      <c r="M2" s="319" t="s">
        <v>128</v>
      </c>
      <c r="N2" s="321" t="s">
        <v>4</v>
      </c>
      <c r="O2" s="313" t="s">
        <v>9</v>
      </c>
      <c r="P2" s="345"/>
      <c r="Q2" s="345"/>
      <c r="R2" s="345"/>
      <c r="S2" s="345"/>
      <c r="T2" s="345"/>
      <c r="U2" s="345"/>
      <c r="V2" s="327" t="s">
        <v>1</v>
      </c>
      <c r="W2" s="323" t="s">
        <v>2</v>
      </c>
      <c r="X2" s="325" t="s">
        <v>5</v>
      </c>
      <c r="Y2" s="7"/>
      <c r="Z2" s="327" t="s">
        <v>1</v>
      </c>
      <c r="AA2" s="323" t="s">
        <v>2</v>
      </c>
      <c r="AB2" s="323" t="s">
        <v>6</v>
      </c>
      <c r="AC2" s="325" t="s">
        <v>130</v>
      </c>
    </row>
    <row r="3" spans="1:29" ht="15" thickBot="1">
      <c r="A3" s="346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1"/>
      <c r="L3" s="331"/>
      <c r="M3" s="344"/>
      <c r="N3" s="322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7"/>
      <c r="X3" s="329"/>
      <c r="Y3" s="8"/>
      <c r="Z3" s="330"/>
      <c r="AA3" s="337"/>
      <c r="AB3" s="337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6" t="s">
        <v>129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1"/>
      <c r="Z1" s="307" t="s">
        <v>7</v>
      </c>
      <c r="AA1" s="307"/>
      <c r="AB1" s="307"/>
      <c r="AC1" s="308"/>
    </row>
    <row r="2" spans="1:29" ht="121.5" customHeight="1" thickBot="1">
      <c r="A2" s="309" t="s">
        <v>94</v>
      </c>
      <c r="B2" s="311" t="s">
        <v>0</v>
      </c>
      <c r="C2" s="313" t="s">
        <v>8</v>
      </c>
      <c r="D2" s="314"/>
      <c r="E2" s="314"/>
      <c r="F2" s="314"/>
      <c r="G2" s="314"/>
      <c r="H2" s="314"/>
      <c r="I2" s="314"/>
      <c r="J2" s="315" t="s">
        <v>1</v>
      </c>
      <c r="K2" s="317" t="s">
        <v>2</v>
      </c>
      <c r="L2" s="317" t="s">
        <v>3</v>
      </c>
      <c r="M2" s="319" t="s">
        <v>128</v>
      </c>
      <c r="N2" s="321" t="s">
        <v>4</v>
      </c>
      <c r="O2" s="313" t="s">
        <v>9</v>
      </c>
      <c r="P2" s="345"/>
      <c r="Q2" s="345"/>
      <c r="R2" s="345"/>
      <c r="S2" s="345"/>
      <c r="T2" s="345"/>
      <c r="U2" s="345"/>
      <c r="V2" s="327" t="s">
        <v>1</v>
      </c>
      <c r="W2" s="323" t="s">
        <v>2</v>
      </c>
      <c r="X2" s="325" t="s">
        <v>5</v>
      </c>
      <c r="Y2" s="7"/>
      <c r="Z2" s="327" t="s">
        <v>1</v>
      </c>
      <c r="AA2" s="323" t="s">
        <v>2</v>
      </c>
      <c r="AB2" s="323" t="s">
        <v>6</v>
      </c>
      <c r="AC2" s="325" t="s">
        <v>128</v>
      </c>
    </row>
    <row r="3" spans="1:29" ht="15" thickBot="1">
      <c r="A3" s="310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1"/>
      <c r="L3" s="331"/>
      <c r="M3" s="344"/>
      <c r="N3" s="322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7"/>
      <c r="X3" s="329"/>
      <c r="Y3" s="8"/>
      <c r="Z3" s="330"/>
      <c r="AA3" s="337"/>
      <c r="AB3" s="337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6" t="s">
        <v>131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1"/>
      <c r="Z1" s="307" t="s">
        <v>7</v>
      </c>
      <c r="AA1" s="307"/>
      <c r="AB1" s="307"/>
      <c r="AC1" s="308"/>
    </row>
    <row r="2" spans="1:29" ht="121.5" customHeight="1" thickBot="1">
      <c r="A2" s="309" t="s">
        <v>95</v>
      </c>
      <c r="B2" s="311" t="s">
        <v>0</v>
      </c>
      <c r="C2" s="313" t="s">
        <v>8</v>
      </c>
      <c r="D2" s="314"/>
      <c r="E2" s="314"/>
      <c r="F2" s="314"/>
      <c r="G2" s="314"/>
      <c r="H2" s="314"/>
      <c r="I2" s="314"/>
      <c r="J2" s="315" t="s">
        <v>1</v>
      </c>
      <c r="K2" s="317" t="s">
        <v>2</v>
      </c>
      <c r="L2" s="317" t="s">
        <v>3</v>
      </c>
      <c r="M2" s="319" t="s">
        <v>128</v>
      </c>
      <c r="N2" s="321" t="s">
        <v>4</v>
      </c>
      <c r="O2" s="313" t="s">
        <v>9</v>
      </c>
      <c r="P2" s="345"/>
      <c r="Q2" s="345"/>
      <c r="R2" s="345"/>
      <c r="S2" s="345"/>
      <c r="T2" s="345"/>
      <c r="U2" s="345"/>
      <c r="V2" s="327" t="s">
        <v>1</v>
      </c>
      <c r="W2" s="323" t="s">
        <v>2</v>
      </c>
      <c r="X2" s="325" t="s">
        <v>5</v>
      </c>
      <c r="Y2" s="7"/>
      <c r="Z2" s="327" t="s">
        <v>1</v>
      </c>
      <c r="AA2" s="323" t="s">
        <v>2</v>
      </c>
      <c r="AB2" s="323" t="s">
        <v>6</v>
      </c>
      <c r="AC2" s="325" t="s">
        <v>128</v>
      </c>
    </row>
    <row r="3" spans="1:29" ht="15" thickBot="1">
      <c r="A3" s="310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1"/>
      <c r="L3" s="331"/>
      <c r="M3" s="344"/>
      <c r="N3" s="322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0"/>
      <c r="W3" s="337"/>
      <c r="X3" s="329"/>
      <c r="Y3" s="8"/>
      <c r="Z3" s="330"/>
      <c r="AA3" s="337"/>
      <c r="AB3" s="337"/>
      <c r="AC3" s="32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2026-02-20T09:12:34Z</dcterms:modified>
</cp:coreProperties>
</file>