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8BB6F8E5-72BF-40BF-8B58-18665E929FC0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8" l="1"/>
  <c r="E175" i="17"/>
  <c r="AD174" i="17"/>
  <c r="AC174" i="17"/>
  <c r="AB174" i="17"/>
  <c r="AA174" i="17"/>
  <c r="Z174" i="17"/>
  <c r="Y174" i="17"/>
  <c r="X174" i="17"/>
  <c r="W174" i="17"/>
  <c r="V174" i="17"/>
  <c r="U174" i="17"/>
  <c r="T174" i="17"/>
  <c r="S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C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E2" i="22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R174" i="17" l="1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10" i="12" l="1"/>
  <c r="AJ6" i="12"/>
  <c r="AM17" i="23"/>
  <c r="AJ17" i="23"/>
  <c r="AJ5" i="23"/>
  <c r="AM5" i="23"/>
  <c r="AJ10" i="8"/>
  <c r="AM7" i="8"/>
  <c r="AM13" i="8"/>
  <c r="AO13" i="8" s="1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M12" i="13"/>
  <c r="AO12" i="13" s="1"/>
  <c r="AM6" i="13"/>
  <c r="AM10" i="5"/>
  <c r="AN10" i="5" s="1"/>
  <c r="AJ15" i="3"/>
  <c r="AM14" i="3"/>
  <c r="AJ14" i="3"/>
  <c r="AJ12" i="3"/>
  <c r="AM8" i="23"/>
  <c r="AO8" i="23" s="1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R18" i="13"/>
  <c r="AM14" i="13"/>
  <c r="R9" i="13"/>
  <c r="AM9" i="13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12" i="13"/>
  <c r="AN6" i="13"/>
  <c r="AO6" i="13"/>
  <c r="AL17" i="12"/>
  <c r="AL5" i="12"/>
  <c r="AO10" i="3"/>
  <c r="AL7" i="3"/>
  <c r="AN15" i="15"/>
  <c r="AO15" i="15"/>
  <c r="AN9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O10" i="12" l="1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L9" i="18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5" i="18" l="1"/>
  <c r="F15" i="18"/>
  <c r="J15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7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0" i="18"/>
  <c r="B116" i="17"/>
  <c r="A116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AM19" i="23" l="1"/>
  <c r="C188" i="17"/>
  <c r="C193" i="17" s="1"/>
  <c r="AL19" i="23"/>
  <c r="E17" i="18" s="1"/>
  <c r="AJ19" i="23"/>
  <c r="AO4" i="23"/>
  <c r="AN4" i="23"/>
  <c r="R19" i="23"/>
  <c r="F17" i="18" l="1"/>
  <c r="H17" i="18"/>
  <c r="AN19" i="23"/>
  <c r="J19" i="6"/>
  <c r="I19" i="6"/>
  <c r="N19" i="15"/>
  <c r="M19" i="15"/>
  <c r="K19" i="15"/>
  <c r="I19" i="15"/>
  <c r="H19" i="15"/>
  <c r="G19" i="15"/>
  <c r="F19" i="15"/>
  <c r="E19" i="15"/>
  <c r="I17" i="18" l="1"/>
  <c r="J17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9" i="18"/>
  <c r="A13" i="18"/>
  <c r="A15" i="18"/>
  <c r="A11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L21" i="18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9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4" i="18" s="1"/>
  <c r="C95" i="17"/>
  <c r="D14" i="18" s="1"/>
  <c r="R19" i="15"/>
  <c r="AO4" i="15"/>
  <c r="AM19" i="8"/>
  <c r="AL19" i="8"/>
  <c r="E9" i="18" s="1"/>
  <c r="C71" i="17"/>
  <c r="AL19" i="6"/>
  <c r="E13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10" i="18"/>
  <c r="I10" i="18" s="1"/>
  <c r="H10" i="18"/>
  <c r="F13" i="18"/>
  <c r="H13" i="18"/>
  <c r="F9" i="18"/>
  <c r="H9" i="18"/>
  <c r="E10" i="18"/>
  <c r="E15" i="18"/>
  <c r="H19" i="18"/>
  <c r="F19" i="18"/>
  <c r="H20" i="18"/>
  <c r="F20" i="18"/>
  <c r="F21" i="18"/>
  <c r="H21" i="18"/>
  <c r="F14" i="18"/>
  <c r="H14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1" i="18"/>
  <c r="AN19" i="7"/>
  <c r="AN19" i="13"/>
  <c r="AN19" i="12"/>
  <c r="D9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3" i="18" s="1"/>
  <c r="AI19" i="1"/>
  <c r="C4" i="17"/>
  <c r="AL19" i="4"/>
  <c r="E18" i="18" s="1"/>
  <c r="D19" i="18"/>
  <c r="AN19" i="8"/>
  <c r="D17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10" i="18"/>
  <c r="J13" i="18"/>
  <c r="I13" i="18"/>
  <c r="I9" i="18"/>
  <c r="J9" i="18"/>
  <c r="H12" i="18"/>
  <c r="F12" i="18"/>
  <c r="I19" i="18"/>
  <c r="J19" i="18"/>
  <c r="J20" i="18"/>
  <c r="I20" i="18"/>
  <c r="I11" i="18"/>
  <c r="J11" i="18"/>
  <c r="J14" i="18"/>
  <c r="I14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6" i="18"/>
  <c r="M81" i="17"/>
  <c r="C113" i="17"/>
  <c r="M16" i="18" s="1"/>
  <c r="AN19" i="3"/>
  <c r="AN19" i="4"/>
  <c r="AJ19" i="1"/>
  <c r="AM19" i="1"/>
  <c r="P19" i="1"/>
  <c r="AL4" i="1"/>
  <c r="C146" i="17" s="1"/>
  <c r="C158" i="17" s="1"/>
  <c r="D16" i="18" s="1"/>
  <c r="Q19" i="1"/>
  <c r="M20" i="18" l="1"/>
  <c r="M14" i="18"/>
  <c r="M11" i="18"/>
  <c r="I12" i="18"/>
  <c r="J12" i="18"/>
  <c r="E88" i="22"/>
  <c r="M19" i="18"/>
  <c r="M21" i="18"/>
  <c r="M9" i="18"/>
  <c r="M12" i="18"/>
  <c r="M13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Q175" i="17" l="1"/>
  <c r="R175" i="17" s="1"/>
  <c r="M10" i="18"/>
  <c r="F16" i="18"/>
  <c r="H16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6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5" i="17"/>
  <c r="O81" i="17"/>
  <c r="P81" i="17" s="1"/>
  <c r="Q81" i="17" s="1"/>
  <c r="S175" i="17"/>
  <c r="T175" i="17" s="1"/>
  <c r="U175" i="17" s="1"/>
  <c r="V175" i="17" s="1"/>
  <c r="A17" i="18"/>
  <c r="A14" i="18"/>
  <c r="L10" i="18" l="1"/>
  <c r="M15" i="18"/>
  <c r="E106" i="22"/>
  <c r="D141" i="22"/>
  <c r="D106" i="22"/>
  <c r="E104" i="22"/>
  <c r="I16" i="18"/>
  <c r="J16" i="18"/>
  <c r="L16" i="18"/>
  <c r="M17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0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36" i="17" l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L19" i="18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13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L18" i="18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11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<sst xmlns="http://schemas.openxmlformats.org/spreadsheetml/2006/main" count="1114" uniqueCount="375">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</sst>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3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4" fontId="31" fillId="0" borderId="0" xfId="0" applyNumberFormat="1" applyFont="1" applyAlignment="1">
      <alignment horizontal="center"/>
    </xf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164" fontId="67" fillId="0" borderId="0" xfId="0" applyNumberFormat="1" applyFont="1" applyAlignment="1">
      <alignment horizontal="center"/>
    </xf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2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5" fillId="0" borderId="38" xfId="0" applyFont="1" applyBorder="1" applyAlignment="1">
      <alignment horizontal="center"/>
    </xf>
    <xf numFmtId="1" fontId="75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40" zoomScaleNormal="140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4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88">
        <v>0</v>
      </c>
      <c r="B1" s="283" t="s">
        <v>304</v>
      </c>
      <c r="C1" s="284"/>
      <c r="D1" s="284"/>
    </row>
    <row r="2" spans="1:20" ht="17.25" customHeight="1" x14ac:dyDescent="0.3">
      <c r="A2" s="289"/>
      <c r="B2" s="284"/>
      <c r="C2" s="284"/>
      <c r="D2" s="284"/>
      <c r="E2" s="229" t="s">
        <v>334</v>
      </c>
    </row>
    <row r="3" spans="1:20" ht="21" customHeight="1" x14ac:dyDescent="0.35">
      <c r="B3" s="285" t="s">
        <v>0</v>
      </c>
      <c r="C3" s="285"/>
      <c r="D3" s="286"/>
      <c r="E3" s="264">
        <v>46031</v>
      </c>
    </row>
    <row r="4" spans="1:20" ht="16.2" customHeight="1" x14ac:dyDescent="0.5">
      <c r="B4" s="287" t="str">
        <f>IF(A8=26,"EINDSTAND", "TUSSENSTAND"  )</f>
        <v>TUSSENSTAND</v>
      </c>
      <c r="C4" s="287"/>
      <c r="D4" s="287"/>
      <c r="E4" t="s">
        <v>372</v>
      </c>
      <c r="K4" s="46"/>
    </row>
    <row r="5" spans="1:20" ht="25.05" customHeight="1" thickBot="1" x14ac:dyDescent="0.55000000000000004">
      <c r="B5" s="287"/>
      <c r="C5" s="287"/>
      <c r="D5" s="287"/>
      <c r="E5" s="108"/>
      <c r="F5" s="108"/>
      <c r="G5" s="108"/>
      <c r="H5" s="108"/>
      <c r="I5" s="108"/>
      <c r="J5" s="108"/>
      <c r="K5" s="228"/>
      <c r="L5" s="255" t="s">
        <v>354</v>
      </c>
      <c r="M5" s="255" t="s">
        <v>355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26" t="s">
        <v>3</v>
      </c>
      <c r="E6" s="248" t="s">
        <v>349</v>
      </c>
      <c r="F6" s="282" t="s">
        <v>348</v>
      </c>
      <c r="G6" s="282"/>
      <c r="H6" s="282"/>
      <c r="I6" s="253" t="s">
        <v>352</v>
      </c>
      <c r="J6" s="254" t="s">
        <v>353</v>
      </c>
      <c r="K6" s="238"/>
      <c r="L6" s="256">
        <v>14</v>
      </c>
      <c r="M6" s="256">
        <v>14</v>
      </c>
      <c r="N6" s="238"/>
      <c r="O6" s="238"/>
      <c r="P6" s="238"/>
      <c r="Q6" s="238"/>
      <c r="R6" s="238"/>
      <c r="S6" s="236"/>
      <c r="T6" s="236"/>
    </row>
    <row r="7" spans="1:20" s="221" customFormat="1" ht="6.75" customHeight="1" x14ac:dyDescent="0.3">
      <c r="B7" s="222"/>
      <c r="E7" s="249"/>
      <c r="F7" s="249"/>
      <c r="G7" s="249"/>
      <c r="H7" s="249"/>
      <c r="I7" s="239"/>
      <c r="J7" s="239"/>
      <c r="K7" s="239"/>
      <c r="L7" s="239"/>
      <c r="M7" s="239" t="s">
        <v>367</v>
      </c>
      <c r="N7" s="239"/>
      <c r="O7" s="239"/>
      <c r="P7" s="239"/>
      <c r="Q7" s="239"/>
      <c r="R7" s="239"/>
      <c r="S7" s="237"/>
      <c r="T7" s="237"/>
    </row>
    <row r="8" spans="1:20" s="44" customFormat="1" ht="19.2" customHeight="1" x14ac:dyDescent="0.35">
      <c r="A8" s="218">
        <f>COUNTIF(Punten!$E$208:'Punten'!$AD$208,"&gt;0")</f>
        <v>14</v>
      </c>
      <c r="B8" s="219" t="s">
        <v>4</v>
      </c>
      <c r="C8" s="242" t="s">
        <v>8</v>
      </c>
      <c r="D8" s="234">
        <f>Punten!$C$209</f>
        <v>915.41300000000001</v>
      </c>
      <c r="E8" s="250">
        <f>Wildert2!$AL$19</f>
        <v>3713</v>
      </c>
      <c r="F8" s="240" t="str">
        <f>INDEX(Wildert2!$A$4:$A$18,MATCH(MAX(Wildert2!$AO$4:$AO$18),Wildert2!$AO$4:$AO$18,0))</f>
        <v>Van Den Bergh Jacky</v>
      </c>
      <c r="G8" s="244"/>
      <c r="H8" s="251">
        <f>MAX(Wildert2!$AO$4:$AO$18)</f>
        <v>152.75229357798165</v>
      </c>
      <c r="I8" s="259">
        <f>VLOOKUP($F8,Wildert2!$A$4:$AO$18,40,0)</f>
        <v>166.5</v>
      </c>
      <c r="J8" s="260">
        <f>VLOOKUP($F8,Wildert2!$A$4:$AO$18,39,0)</f>
        <v>2</v>
      </c>
      <c r="K8" s="241"/>
      <c r="L8" s="257">
        <f>VLOOKUP($C8,Punten!$D$4:$AD$224,1+$L$6,0)</f>
        <v>915.41300000000024</v>
      </c>
      <c r="M8" s="257">
        <f>VLOOKUP($C8,Punten!$C$4:$AD$224,2+$M$6,0)</f>
        <v>50.507000000000005</v>
      </c>
      <c r="N8" s="241"/>
      <c r="O8" s="241"/>
      <c r="P8" s="241"/>
      <c r="Q8" s="241"/>
      <c r="R8" s="241"/>
      <c r="S8" s="233"/>
      <c r="T8" s="233"/>
    </row>
    <row r="9" spans="1:20" s="44" customFormat="1" ht="20.100000000000001" customHeight="1" x14ac:dyDescent="0.35">
      <c r="A9" s="218">
        <f>COUNTIF(Punten!$E$128:'Punten'!$AD$128,"&gt;0")</f>
        <v>14</v>
      </c>
      <c r="B9" s="219" t="s">
        <v>4</v>
      </c>
      <c r="C9" s="242" t="s">
        <v>15</v>
      </c>
      <c r="D9" s="227">
        <f>Punten!$C$129</f>
        <v>866.17400000000009</v>
      </c>
      <c r="E9" s="250">
        <f>Meeuwkes!$AL$19</f>
        <v>2773.0001000000002</v>
      </c>
      <c r="F9" s="240" t="str">
        <f>INDEX(Meeuwkes!$A$4:$A$18,MATCH(MAX(Meeuwkes!$AO$4:$AO$18),Meeuwkes!$AO$4:$AO$18,0))</f>
        <v>Bove René</v>
      </c>
      <c r="G9" s="244"/>
      <c r="H9" s="251">
        <f>MAX(Meeuwkes!$AO$4:$AO$18)</f>
        <v>136.66666666666666</v>
      </c>
      <c r="I9" s="259">
        <f>VLOOKUP($F9,Meeuwkes!$A$4:$AO$18,40,0)</f>
        <v>27.333333333333332</v>
      </c>
      <c r="J9" s="260">
        <f>VLOOKUP($F9,Meeuwkes!$A$4:$AO$18,39,0)</f>
        <v>6</v>
      </c>
      <c r="K9" s="241"/>
      <c r="L9" s="257">
        <f>VLOOKUP($C9,Punten!$D$4:$AD$224,1+$L$6,0)</f>
        <v>866.17399999999986</v>
      </c>
      <c r="M9" s="257">
        <f>VLOOKUP($C9,Punten!$C$4:$AD$224,2+$M$6,0)</f>
        <v>68.548000000000002</v>
      </c>
      <c r="N9" s="241"/>
      <c r="O9" s="241"/>
      <c r="P9" s="241"/>
      <c r="Q9" s="241"/>
      <c r="R9" s="241"/>
      <c r="S9" s="233"/>
      <c r="T9" s="233"/>
    </row>
    <row r="10" spans="1:20" s="44" customFormat="1" ht="20.100000000000001" customHeight="1" x14ac:dyDescent="0.35">
      <c r="A10" s="218">
        <f>COUNTIF(Punten!E174:'Punten'!AD174,"&gt;0")</f>
        <v>14</v>
      </c>
      <c r="B10" s="219" t="s">
        <v>4</v>
      </c>
      <c r="C10" s="242" t="s">
        <v>14</v>
      </c>
      <c r="D10" s="227">
        <f>Punten!$C$175</f>
        <v>861.86500000000001</v>
      </c>
      <c r="E10" s="250">
        <f>DeBeek!$AL$19</f>
        <v>2654</v>
      </c>
      <c r="F10" s="240" t="str">
        <f>INDEX(Putte!$A$4:$A$18,MATCH(MAX(Putte!$AO$4:$AO$18),Putte!$AO$4:$AO$18,0))</f>
        <v>Van Den Bleeken Eddy</v>
      </c>
      <c r="G10" s="244"/>
      <c r="H10" s="251">
        <f>MAX(Putte!$AO$4:$AO$18)</f>
        <v>124.24242424242425</v>
      </c>
      <c r="I10" s="259">
        <f>VLOOKUP($F10,Putte!$A$4:$AO$18,40,0)</f>
        <v>27.333333333333332</v>
      </c>
      <c r="J10" s="260">
        <f>VLOOKUP($F10,Putte!$A$4:$AO$18,39,0)</f>
        <v>6</v>
      </c>
      <c r="K10" s="241"/>
      <c r="L10" s="257">
        <f>VLOOKUP($C10,Punten!$D$4:$AD$224,1+$L$6,0)</f>
        <v>861.86500000000001</v>
      </c>
      <c r="M10" s="257">
        <f>VLOOKUP($C10,Punten!$C$4:$AD$224,2+$M$6,0)</f>
        <v>47.05</v>
      </c>
      <c r="N10" s="241"/>
      <c r="O10" s="241"/>
      <c r="P10" s="241"/>
      <c r="Q10" s="241"/>
      <c r="R10" s="241"/>
      <c r="S10" s="233"/>
      <c r="T10" s="233"/>
    </row>
    <row r="11" spans="1:20" s="44" customFormat="1" ht="20.100000000000001" customHeight="1" x14ac:dyDescent="0.35">
      <c r="A11" s="244">
        <f>COUNTIF(Punten!$E$67:'Punten'!$AD$67,"&gt;0")</f>
        <v>14</v>
      </c>
      <c r="B11" s="245" t="s">
        <v>4</v>
      </c>
      <c r="C11" s="246" t="s">
        <v>13</v>
      </c>
      <c r="D11" s="247">
        <f>Punten!$C$68</f>
        <v>857.50500000000011</v>
      </c>
      <c r="E11" s="250">
        <f>Meeuwen2!$AL$19</f>
        <v>3083</v>
      </c>
      <c r="F11" s="240" t="str">
        <f>INDEX(Meeuwen2!$A$4:$A$18,MATCH(MAX(Meeuwen2!$AO$4:$AO$18),Meeuwen2!$AO$4:$AO$18,0))</f>
        <v>De Backer Jerome</v>
      </c>
      <c r="G11" s="252"/>
      <c r="H11" s="251">
        <f>MAX(Meeuwen2!$AO$4:$AO$18)</f>
        <v>121.77033492822966</v>
      </c>
      <c r="I11" s="259">
        <f>VLOOKUP($F11,Meeuwen2!$A$4:$AO$18,40,0)</f>
        <v>46.272727272727273</v>
      </c>
      <c r="J11" s="260">
        <f>VLOOKUP($F11,Meeuwen2!$A$4:$AO$18,39,0)</f>
        <v>11</v>
      </c>
      <c r="K11" s="241"/>
      <c r="L11" s="257">
        <f>VLOOKUP($C11,Punten!$D$4:$AD$224,1+$L$6,0)</f>
        <v>857.505</v>
      </c>
      <c r="M11" s="257">
        <f>VLOOKUP($C11,Punten!$C$4:$AD$224,2+$M$6,0)</f>
        <v>60.944000000000003</v>
      </c>
      <c r="N11" s="241"/>
      <c r="O11" s="241"/>
      <c r="P11" s="241"/>
      <c r="Q11" s="241"/>
      <c r="R11" s="241"/>
      <c r="S11" s="233"/>
      <c r="T11" s="233"/>
    </row>
    <row r="12" spans="1:20" s="44" customFormat="1" ht="20.100000000000001" customHeight="1" x14ac:dyDescent="0.35">
      <c r="A12" s="218">
        <f>COUNTIF(Punten!E112:'Punten'!AD112,"&gt;0")</f>
        <v>14</v>
      </c>
      <c r="B12" s="219" t="s">
        <v>4</v>
      </c>
      <c r="C12" s="242" t="s">
        <v>5</v>
      </c>
      <c r="D12" s="227">
        <f>Punten!$C$113</f>
        <v>855.67399999999986</v>
      </c>
      <c r="E12" s="250">
        <f>Oudeglorie!$AL$19</f>
        <v>2578</v>
      </c>
      <c r="F12" s="240" t="str">
        <f>INDEX(Oudeglorie!$A$4:$A$18,MATCH(MAX(Oudeglorie!$AO$4:$AO$18),Oudeglorie!$AO$4:$AO$18,0))</f>
        <v xml:space="preserve">Aerden Carl  </v>
      </c>
      <c r="G12" s="244"/>
      <c r="H12" s="251">
        <f>MAX(Oudeglorie!$AO$4:$AO$18)</f>
        <v>125</v>
      </c>
      <c r="I12" s="259">
        <f>VLOOKUP($F12,Oudeglorie!$A$4:$AO$18,40,0)</f>
        <v>30</v>
      </c>
      <c r="J12" s="260">
        <f>VLOOKUP($F12,Oudeglorie!$A$4:$AO$18,39,0)</f>
        <v>7</v>
      </c>
      <c r="K12" s="241"/>
      <c r="L12" s="257">
        <f>VLOOKUP($C12,Punten!$D$4:$AD$224,1+$L$6,0)</f>
        <v>855.67400000000009</v>
      </c>
      <c r="M12" s="257">
        <f>VLOOKUP($C12,Punten!$C$4:$AD$224,2+$M$6,0)</f>
        <v>63.105000000000004</v>
      </c>
      <c r="N12" s="241"/>
      <c r="O12" s="241"/>
      <c r="P12" s="241"/>
      <c r="Q12" s="241"/>
      <c r="R12" s="241"/>
      <c r="S12" s="233"/>
      <c r="T12" s="233"/>
    </row>
    <row r="13" spans="1:20" s="44" customFormat="1" ht="20.100000000000001" customHeight="1" x14ac:dyDescent="0.35">
      <c r="A13" s="218">
        <f>COUNTIF(Punten!$E$80:'Punten'!$AD$80,"&gt;0")</f>
        <v>14</v>
      </c>
      <c r="B13" s="219" t="s">
        <v>4</v>
      </c>
      <c r="C13" s="242" t="s">
        <v>11</v>
      </c>
      <c r="D13" s="227">
        <f>Punten!$C$81</f>
        <v>855.52800000000002</v>
      </c>
      <c r="E13" s="250">
        <f>Molenheike!$AL$19</f>
        <v>3354</v>
      </c>
      <c r="F13" s="240" t="str">
        <f>INDEX(Molenheike!$A$4:$A$18,MATCH(MAX(Molenheike!$AO$4:$AO$18),Molenheike!$AO$4:$AO$18,0))</f>
        <v>Keuppens Marc</v>
      </c>
      <c r="G13" s="244"/>
      <c r="H13" s="251">
        <f>MAX(Molenheike!$AO$4:$AO$18)</f>
        <v>117.66666666666667</v>
      </c>
      <c r="I13" s="259">
        <f>VLOOKUP($F13,Molenheike!$A$4:$AO$18,40,0)</f>
        <v>35.299999999999997</v>
      </c>
      <c r="J13" s="260">
        <f>VLOOKUP($F13,Molenheike!$A$4:$AO$18,39,0)</f>
        <v>10</v>
      </c>
      <c r="K13" s="241"/>
      <c r="L13" s="257">
        <f>VLOOKUP($C13,Punten!$D$4:$AD$224,1+$L$6,0)</f>
        <v>855.52800000000002</v>
      </c>
      <c r="M13" s="257">
        <f>VLOOKUP($C13,Punten!$C$4:$AD$224,2+$M$6,0)</f>
        <v>68.793999999999997</v>
      </c>
      <c r="N13" s="241"/>
      <c r="O13" s="241"/>
      <c r="P13" s="241"/>
      <c r="Q13" s="241"/>
      <c r="R13" s="241"/>
      <c r="S13" s="233"/>
      <c r="T13" s="233"/>
    </row>
    <row r="14" spans="1:20" s="44" customFormat="1" ht="20.100000000000001" customHeight="1" x14ac:dyDescent="0.35">
      <c r="A14" s="244">
        <f>COUNTIF(Punten!$E$94:'Punten'!$AD$94,"&gt;0")</f>
        <v>14</v>
      </c>
      <c r="B14" s="245" t="s">
        <v>4</v>
      </c>
      <c r="C14" s="246" t="s">
        <v>290</v>
      </c>
      <c r="D14" s="247">
        <f>Punten!$C$95</f>
        <v>829.16800000000012</v>
      </c>
      <c r="E14" s="250">
        <f>Nispen!$AL$19</f>
        <v>2732</v>
      </c>
      <c r="F14" s="240" t="str">
        <f>INDEX(Nispen!$A$4:$A$18,MATCH(MAX(Nispen!$AO$4:$AO$18),Nispen!$AO$4:$AO$18,0))</f>
        <v>Brouwers Vic</v>
      </c>
      <c r="G14" s="244"/>
      <c r="H14" s="251">
        <f>MAX(Nispen!$AO$4:$AO$18)</f>
        <v>111.08597285067874</v>
      </c>
      <c r="I14" s="259">
        <f>VLOOKUP($F14,Nispen!$A$4:$AO$18,40,0)</f>
        <v>75.538461538461533</v>
      </c>
      <c r="J14" s="260">
        <f>VLOOKUP($F14,Nispen!$A$4:$AO$18,39,0)</f>
        <v>13</v>
      </c>
      <c r="K14" s="241"/>
      <c r="L14" s="257">
        <f>VLOOKUP($C14,Punten!$D$4:$AD$224,1+$L$6,0)</f>
        <v>829.16799999999989</v>
      </c>
      <c r="M14" s="257">
        <f>VLOOKUP($C14,Punten!$C$4:$AD$224,2+$M$6,0)</f>
        <v>63.698999999999998</v>
      </c>
      <c r="N14" s="241"/>
      <c r="O14" s="241"/>
      <c r="P14" s="241"/>
      <c r="Q14" s="241"/>
      <c r="R14" s="241"/>
      <c r="S14" s="233"/>
      <c r="T14" s="233"/>
    </row>
    <row r="15" spans="1:20" s="44" customFormat="1" ht="20.100000000000001" customHeight="1" x14ac:dyDescent="0.35">
      <c r="A15" s="218">
        <f>COUNTIF(Punten!$E$223:'Punten'!$AD$223,"&gt;0")</f>
        <v>14</v>
      </c>
      <c r="B15" s="219" t="s">
        <v>4</v>
      </c>
      <c r="C15" s="242" t="s">
        <v>291</v>
      </c>
      <c r="D15" s="227">
        <f>Punten!$C$224</f>
        <v>823.23699999999997</v>
      </c>
      <c r="E15" s="250">
        <f>DeBeek!$AL$19</f>
        <v>2654</v>
      </c>
      <c r="F15" s="240" t="str">
        <f>INDEX(DeBeek!$A$4:$A$18,MATCH(MAX(DeBeek!$AO$4:$AO$18),DeBeek!$AO$4:$AO$18,0))</f>
        <v>Beyers Armand</v>
      </c>
      <c r="G15" s="244"/>
      <c r="H15" s="251">
        <f>MAX(DeBeek!$AO$4:$AO$18)</f>
        <v>121.82539682539681</v>
      </c>
      <c r="I15" s="259">
        <f>VLOOKUP($F15,DeBeek!$A$4:$AO$18,40,0)</f>
        <v>43.857142857142854</v>
      </c>
      <c r="J15" s="260">
        <f>VLOOKUP($F15,DeBeek!$A$4:$AO$18,39,0)</f>
        <v>7</v>
      </c>
      <c r="K15" s="241"/>
      <c r="L15" s="257">
        <f>VLOOKUP($C15,Punten!$D$4:$AD$224,1+$L$6,0)</f>
        <v>823.23699999999997</v>
      </c>
      <c r="M15" s="257">
        <f>VLOOKUP($C15,Punten!$C$4:$AD$224,2+$M$6,0)</f>
        <v>57.353000000000002</v>
      </c>
      <c r="N15" s="241"/>
      <c r="O15" s="241"/>
      <c r="P15" s="241"/>
      <c r="Q15" s="241"/>
      <c r="R15" s="241"/>
      <c r="S15" s="233"/>
      <c r="T15" s="233"/>
    </row>
    <row r="16" spans="1:20" s="44" customFormat="1" ht="20.100000000000001" customHeight="1" x14ac:dyDescent="0.35">
      <c r="A16" s="244">
        <f>COUNTIF(Punten!$E$157:'Punten'!$AD$157,"&gt;0")</f>
        <v>14</v>
      </c>
      <c r="B16" s="245" t="s">
        <v>4</v>
      </c>
      <c r="C16" s="246" t="s">
        <v>9</v>
      </c>
      <c r="D16" s="247">
        <f>Punten!$C$158</f>
        <v>818.33999999999992</v>
      </c>
      <c r="E16" s="250">
        <f>Rooiebal2!$AL$19</f>
        <v>2505</v>
      </c>
      <c r="F16" s="240" t="str">
        <f>INDEX(Rooiebal2!$A$4:$A$18,MATCH(MAX(Rooiebal2!$AO$4:$AO$18),Rooiebal2!$AO$4:$AO$18,0))</f>
        <v xml:space="preserve">Donckers Johnny </v>
      </c>
      <c r="G16" s="244"/>
      <c r="H16" s="251">
        <f>MAX(Rooiebal2!$AO$4:$AO$18)</f>
        <v>130.80000000000001</v>
      </c>
      <c r="I16" s="259">
        <f>VLOOKUP($F16,Rooiebal2!$A$4:$AO$18,40,0)</f>
        <v>32.700000000000003</v>
      </c>
      <c r="J16" s="260">
        <f>VLOOKUP($F16,Rooiebal2!$A$4:$AO$18,39,0)</f>
        <v>10</v>
      </c>
      <c r="K16" s="241"/>
      <c r="L16" s="257">
        <f>VLOOKUP($C16,Punten!$D$4:$AD$224,1+$L$6,0)</f>
        <v>818.34</v>
      </c>
      <c r="M16" s="257">
        <f>VLOOKUP($C16,Punten!$C$4:$AD$224,2+$M$6,0)</f>
        <v>53.446999999999996</v>
      </c>
      <c r="N16" s="241"/>
      <c r="O16" s="241"/>
      <c r="P16" s="241"/>
      <c r="Q16" s="241"/>
      <c r="R16" s="241" t="s">
        <v>368</v>
      </c>
      <c r="S16" s="233"/>
      <c r="T16" s="233"/>
    </row>
    <row r="17" spans="1:20" s="44" customFormat="1" ht="20.100000000000001" customHeight="1" x14ac:dyDescent="0.35">
      <c r="A17" s="218">
        <f>COUNTIF(Punten!$E$192:'Punten'!$AD$192,"&gt;0")</f>
        <v>14</v>
      </c>
      <c r="B17" s="219" t="s">
        <v>4</v>
      </c>
      <c r="C17" s="243" t="s">
        <v>12</v>
      </c>
      <c r="D17" s="234">
        <f>Punten!$C$193</f>
        <v>814.90299999999979</v>
      </c>
      <c r="E17" s="250">
        <f>Wildert1!$AL$19</f>
        <v>2851</v>
      </c>
      <c r="F17" s="240" t="str">
        <f>INDEX(Wildert1!$A$4:$A$18,MATCH(MAX(Wildert1!$AO$4:$AO$18),Wildert1!$AO$4:$AO$18,0))</f>
        <v xml:space="preserve">Konings Guido </v>
      </c>
      <c r="G17" s="244"/>
      <c r="H17" s="251">
        <f>MAX(Wildert1!$AO$4:$AO$18)</f>
        <v>136.80555555555557</v>
      </c>
      <c r="I17" s="259">
        <f>VLOOKUP($F17,Wildert1!$A$4:$AO$18,40,0)</f>
        <v>32.833333333333336</v>
      </c>
      <c r="J17" s="260">
        <f>VLOOKUP($F17,Wildert1!$A$4:$AO$18,39,0)</f>
        <v>6</v>
      </c>
      <c r="K17" s="241"/>
      <c r="L17" s="257">
        <f>VLOOKUP($C17,Punten!$D$4:$AD$224,1+$L$6,0)</f>
        <v>822.90299999999991</v>
      </c>
      <c r="M17" s="257">
        <f>VLOOKUP($C17,Punten!$C$4:$AD$224,2+$M$6,0)</f>
        <v>49.783000000000001</v>
      </c>
      <c r="N17" s="241"/>
      <c r="O17" s="241"/>
      <c r="P17" s="241"/>
      <c r="Q17" s="241"/>
      <c r="R17" s="241"/>
      <c r="S17" s="233"/>
      <c r="T17" s="233"/>
    </row>
    <row r="18" spans="1:20" s="44" customFormat="1" ht="20.100000000000001" customHeight="1" x14ac:dyDescent="0.35">
      <c r="A18" s="218">
        <f>COUNTIF(Punten!$E$16:'Punten'!$AD$16,"&gt;0")</f>
        <v>14</v>
      </c>
      <c r="B18" s="219" t="s">
        <v>4</v>
      </c>
      <c r="C18" s="243" t="s">
        <v>6</v>
      </c>
      <c r="D18" s="227">
        <f>Punten!$C$17</f>
        <v>800.88400000000001</v>
      </c>
      <c r="E18" s="250">
        <f>Horendonk!$AL$19</f>
        <v>2183</v>
      </c>
      <c r="F18" s="240" t="str">
        <f>INDEX(Horendonk!$A$4:$A$18,MATCH(MAX(Horendonk!$AO$4:$AO$18),Horendonk!$AO$4:$AO$18,0))</f>
        <v>Veraart Jef     (ns)</v>
      </c>
      <c r="G18" s="244"/>
      <c r="H18" s="251">
        <f>MAX(Horendonk!$AO$4:$AO$18)</f>
        <v>122.22222222222223</v>
      </c>
      <c r="I18" s="259">
        <f>VLOOKUP($F18,Horendonk!$A$4:$AO$18,40,0)</f>
        <v>33</v>
      </c>
      <c r="J18" s="260">
        <f>VLOOKUP($F18,Horendonk!$A$4:$AO$18,39,0)</f>
        <v>2</v>
      </c>
      <c r="K18" s="241"/>
      <c r="L18" s="257">
        <f>VLOOKUP($C18,Punten!$D$4:$AD$224,1+$L$6,0)</f>
        <v>800.88400000000001</v>
      </c>
      <c r="M18" s="257">
        <f>VLOOKUP($C18,Punten!$C$4:$AD$224,2+$M$6,0)</f>
        <v>59.261999999999993</v>
      </c>
      <c r="N18" s="241"/>
      <c r="O18" s="241"/>
      <c r="P18" s="241"/>
      <c r="Q18" s="241"/>
      <c r="R18" s="241"/>
      <c r="S18" s="233"/>
      <c r="T18" s="233"/>
    </row>
    <row r="19" spans="1:20" s="44" customFormat="1" ht="20.100000000000001" customHeight="1" x14ac:dyDescent="0.35">
      <c r="A19" s="244">
        <f>COUNTIF(Punten!$E$35:'Punten'!$AD$35,"&gt;0")</f>
        <v>14</v>
      </c>
      <c r="B19" s="245" t="s">
        <v>4</v>
      </c>
      <c r="C19" s="243" t="s">
        <v>10</v>
      </c>
      <c r="D19" s="247">
        <f>Punten!$C$36</f>
        <v>788.74199999999996</v>
      </c>
      <c r="E19" s="250">
        <f>Kerkuilen!$AL$19</f>
        <v>3502</v>
      </c>
      <c r="F19" s="240" t="str">
        <f>INDEX(Kerkuilen!$A$4:$A$18,MATCH(MAX(Kerkuilen!$AO$4:$AO$18),Kerkuilen!$AO$4:$AO$18,0))</f>
        <v>De Kaey Piet</v>
      </c>
      <c r="G19" s="244"/>
      <c r="H19" s="251">
        <f>MAX(Kerkuilen!$AO$4:$AO$18)</f>
        <v>111.53846153846155</v>
      </c>
      <c r="I19" s="259">
        <f>VLOOKUP($F19,Kerkuilen!$A$4:$AO$18,40,0)</f>
        <v>58</v>
      </c>
      <c r="J19" s="260">
        <f>VLOOKUP($F19,Kerkuilen!$A$4:$AO$18,39,0)</f>
        <v>5</v>
      </c>
      <c r="K19" s="241"/>
      <c r="L19" s="257">
        <f>VLOOKUP($C19,Punten!$D$4:$AD$224,1+$L$6,0)</f>
        <v>788.74200000000008</v>
      </c>
      <c r="M19" s="257">
        <f>VLOOKUP($C19,Punten!$C$4:$AD$224,2+$M$6,0)</f>
        <v>62.791000000000004</v>
      </c>
      <c r="N19" s="241"/>
      <c r="O19" s="241"/>
      <c r="P19" s="241"/>
      <c r="Q19" s="241"/>
      <c r="R19" s="241"/>
      <c r="S19" s="233"/>
      <c r="T19" s="233"/>
    </row>
    <row r="20" spans="1:20" s="44" customFormat="1" ht="20.100000000000001" customHeight="1" x14ac:dyDescent="0.35">
      <c r="A20" s="244">
        <f>COUNTIF(Punten!$E$142:'Punten'!$AD$142,"&gt;0")</f>
        <v>14</v>
      </c>
      <c r="B20" s="245" t="s">
        <v>4</v>
      </c>
      <c r="C20" s="243" t="s">
        <v>7</v>
      </c>
      <c r="D20" s="247">
        <f>Punten!$C$143</f>
        <v>776.54300000000001</v>
      </c>
      <c r="E20" s="250">
        <f>Rooiebal1!$AL$19</f>
        <v>2252</v>
      </c>
      <c r="F20" s="240" t="str">
        <f>INDEX(Rooiebal1!$A$4:$A$18,MATCH(MAX(Rooiebal1!$AO$4:$AO$18),Rooiebal1!$AO$4:$AO$18,0))</f>
        <v xml:space="preserve">Raeymakers Pierre </v>
      </c>
      <c r="G20" s="244"/>
      <c r="H20" s="251">
        <f>MAX(Rooiebal1!$AO$4:$AO$18)</f>
        <v>143.47826086956522</v>
      </c>
      <c r="I20" s="259">
        <f>VLOOKUP($F20,Rooiebal1!$A$4:$AO$18,40,0)</f>
        <v>33</v>
      </c>
      <c r="J20" s="260">
        <f>VLOOKUP($F20,Rooiebal1!$A$4:$AO$18,39,0)</f>
        <v>2</v>
      </c>
      <c r="K20" s="241"/>
      <c r="L20" s="257">
        <f>VLOOKUP($C20,Punten!$D$4:$AD$224,1+$L$6,0)</f>
        <v>776.54300000000012</v>
      </c>
      <c r="M20" s="257">
        <f>VLOOKUP($C20,Punten!$C$4:$AD$224,2+$M$6,0)</f>
        <v>64.424000000000007</v>
      </c>
      <c r="N20" s="241"/>
      <c r="O20" s="241"/>
      <c r="P20" s="241"/>
      <c r="Q20" s="241"/>
      <c r="R20" s="241"/>
      <c r="S20" s="233"/>
      <c r="T20" s="233"/>
    </row>
    <row r="21" spans="1:20" ht="19.95" customHeight="1" x14ac:dyDescent="0.35">
      <c r="A21" s="244">
        <f>COUNTIF(Punten!$E$50:'Punten'!$AD$50,"&gt;0")</f>
        <v>14</v>
      </c>
      <c r="B21" s="245" t="s">
        <v>4</v>
      </c>
      <c r="C21" s="243" t="s">
        <v>16</v>
      </c>
      <c r="D21" s="247">
        <f>Punten!$C$51</f>
        <v>734.78700000000003</v>
      </c>
      <c r="E21" s="250">
        <f>Meeuwen1!$AL$19</f>
        <v>2005</v>
      </c>
      <c r="F21" s="240" t="str">
        <f>INDEX(Meeuwen1!$A$4:$A$18,MATCH(MAX(Meeuwen1!$AO$4:$AO$18),Meeuwen1!$AO$4:$AO$18,0))</f>
        <v>Vossen Filip</v>
      </c>
      <c r="G21" s="244"/>
      <c r="H21" s="251">
        <f>MAX(Meeuwen1!$AO$4:$AO$18)</f>
        <v>111.71875</v>
      </c>
      <c r="I21" s="259">
        <f>VLOOKUP($F21,Meeuwen1!$A$4:$AO$18,40,0)</f>
        <v>17.875</v>
      </c>
      <c r="J21" s="260">
        <f>VLOOKUP($F21,Meeuwen1!$A$4:$AO$18,39,0)</f>
        <v>8</v>
      </c>
      <c r="K21" s="35"/>
      <c r="L21" s="257">
        <f>VLOOKUP($C21,Punten!$D$4:$AD$224,1+$L$6,0)</f>
        <v>734.78700000000003</v>
      </c>
      <c r="M21" s="257">
        <f>VLOOKUP($C21,Punten!$C$4:$AD$224,2+$M$6,0)</f>
        <v>67.884999999999991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9"/>
  <sheetViews>
    <sheetView showGridLines="0" topLeftCell="A167" zoomScale="107" zoomScaleNormal="100" workbookViewId="0">
      <selection activeCell="A13" sqref="A13:XFD13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7</v>
      </c>
      <c r="B4" s="28" t="str">
        <f>Horendonk!A4</f>
        <v>Ansems Ferre</v>
      </c>
      <c r="C4" s="32">
        <f>IF(Horendonk!AL4=0," ",SUM(E4:AD4))</f>
        <v>79.472000000000008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10</v>
      </c>
      <c r="B7" s="28" t="str">
        <f>Horendonk!A7</f>
        <v>De Backer Jef</v>
      </c>
      <c r="C7" s="32">
        <f>IF(Horendonk!AL7=0," ",SUM(E7:AD7))</f>
        <v>99.998999999999995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8</v>
      </c>
      <c r="B8" s="28" t="str">
        <f>Horendonk!A8</f>
        <v>Herreyers Remy</v>
      </c>
      <c r="C8" s="32">
        <f>IF(Horendonk!AL8=0," ",SUM(E8:AD8))</f>
        <v>64.373999999999995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7</v>
      </c>
      <c r="B9" s="80" t="str">
        <f>Horendonk!A9</f>
        <v>Maas Guy</v>
      </c>
      <c r="C9" s="32">
        <f>IF(Horendonk!AL9=0," ",SUM(E9:AD9))</f>
        <v>58.000000000000007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8</v>
      </c>
      <c r="B10" s="28" t="str">
        <f>Horendonk!A10</f>
        <v xml:space="preserve">Nelen Johan  </v>
      </c>
      <c r="C10" s="32">
        <f>IF(Horendonk!AL10=0," ",SUM(E10:AD10))</f>
        <v>78.665999999999997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8</v>
      </c>
      <c r="B11" s="28" t="str">
        <f>Horendonk!A11</f>
        <v>Oerlemans Willy</v>
      </c>
      <c r="C11" s="32">
        <f>IF(Horendonk!AL11=0," ",SUM(E11:AD11))</f>
        <v>71.430000000000007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11</v>
      </c>
      <c r="B12" s="28" t="str">
        <f>Horendonk!A12</f>
        <v>Siemons Jos</v>
      </c>
      <c r="C12" s="32">
        <f>IF(Horendonk!AL12=0," ",SUM(E12:AD12))</f>
        <v>109.6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9</v>
      </c>
      <c r="B13" s="28" t="str">
        <f>Horendonk!A13</f>
        <v>Van Aert André</v>
      </c>
      <c r="C13" s="32">
        <f>IF(Horendonk!AL13=0," ",SUM(E13:AD13))</f>
        <v>85.516000000000005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5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5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9</v>
      </c>
      <c r="B15" s="81" t="str">
        <f>Horendonk!A15</f>
        <v xml:space="preserve">Vergouwen René </v>
      </c>
      <c r="C15" s="32">
        <f>IF(Horendonk!AL15=0," ",SUM(E15:AD15))</f>
        <v>81.667000000000002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 t="shared" si="1"/>
        <v>59.261999999999993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800.88400000000001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7</v>
      </c>
      <c r="B20" s="28" t="str">
        <f>Kerkuilen!A4</f>
        <v xml:space="preserve">Antonissen Gust      </v>
      </c>
      <c r="C20" s="32">
        <f>IF(Kerkuilen!AL4=0," ",SUM(E20:AD20))</f>
        <v>73.225999999999999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5</v>
      </c>
      <c r="B21" s="28" t="str">
        <f>Kerkuilen!A5</f>
        <v>De Kaey Piet</v>
      </c>
      <c r="C21" s="32">
        <f>IF(Kerkuilen!AL5=0," ",SUM(E21:AD21))</f>
        <v>55.769999999999996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3</v>
      </c>
      <c r="B22" s="28" t="str">
        <f>Kerkuilen!A6</f>
        <v>Elst Stan</v>
      </c>
      <c r="C22" s="32">
        <f>IF(Kerkuilen!AL6=0," ",SUM(E22:AD22))</f>
        <v>25.951999999999998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3</v>
      </c>
      <c r="B24" s="28" t="str">
        <f>Kerkuilen!A8</f>
        <v xml:space="preserve">Jacobis Martin </v>
      </c>
      <c r="C24" s="32">
        <f>IF(Kerkuilen!AL8=0," ",SUM(E24:AD24))</f>
        <v>30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7</v>
      </c>
      <c r="B25" s="28" t="str">
        <f>Kerkuilen!A9</f>
        <v>Lambrechts Jef</v>
      </c>
      <c r="C25" s="32">
        <f>IF(Kerkuilen!AL9=0," ",SUM(E25:AD25))</f>
        <v>67.17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7</v>
      </c>
      <c r="B26" s="28" t="str">
        <f>Kerkuilen!A10</f>
        <v>Naulaerts Rik</v>
      </c>
      <c r="C26" s="32">
        <f>IF(Kerkuilen!AL10=0," ",SUM(E26:AD26))</f>
        <v>65.882000000000005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4</v>
      </c>
      <c r="B27" s="28" t="str">
        <f>Kerkuilen!A11</f>
        <v>Peeters Wies</v>
      </c>
      <c r="C27" s="32">
        <f>IF(Kerkuilen!AL11=0," ",SUM(E27:AD27))</f>
        <v>33.571999999999996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10</v>
      </c>
      <c r="B28" s="28" t="str">
        <f>Kerkuilen!A12</f>
        <v>Pleysier Luc</v>
      </c>
      <c r="C28" s="32">
        <f>IF(Kerkuilen!AL12=0," ",SUM(E28:AD28))</f>
        <v>81.334000000000003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7</v>
      </c>
      <c r="B29" s="28" t="str">
        <f>Kerkuilen!A13</f>
        <v xml:space="preserve">Quick Gerard </v>
      </c>
      <c r="C29" s="32">
        <f>IF(Kerkuilen!AL13=0," ",SUM(E29:AD29))</f>
        <v>72.307000000000002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6</v>
      </c>
      <c r="B31" s="28" t="str">
        <f>Kerkuilen!A15</f>
        <v>Uytdewilligen Hubert</v>
      </c>
      <c r="C31" s="32">
        <f>IF(Kerkuilen!AL15=0," ",SUM(E31:AD31))</f>
        <v>57.575000000000003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5</v>
      </c>
      <c r="B32" s="38" t="str">
        <f>Kerkuilen!A16</f>
        <v>Van Ginneken Cyriel [NS 20]</v>
      </c>
      <c r="C32" s="32">
        <f>IF(Kerkuilen!AL16=0," ",SUM(E32:AD32))</f>
        <v>45.875</v>
      </c>
      <c r="E32" s="36" t="str">
        <f>IF(Kerkuilen!C16=(""),(""),ROUND(Kerkuilen!C16/Kerkuilen!$B16*10,3))</f>
        <v/>
      </c>
      <c r="F32" s="265">
        <f>IF(Kerkuilen!D16=(""),(""),ROUND(Kerkuilen!D16/20*10,3))</f>
        <v>8</v>
      </c>
      <c r="G32" s="265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5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5">
        <f>IF(Kerkuilen!D17=(""),(""),ROUND(Kerkuilen!D17/50*10,3))</f>
        <v>10</v>
      </c>
      <c r="G33" s="265">
        <f>IF(Kerkuilen!E17=(""),(""),ROUND(Kerkuilen!E17/50*10,3))</f>
        <v>9</v>
      </c>
      <c r="H33" s="265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788.74199999999996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10</v>
      </c>
      <c r="B39" s="28" t="str">
        <f>Meeuwen1!A4</f>
        <v>Aerts Adri</v>
      </c>
      <c r="C39" s="32">
        <f>IF(Meeuwen1!AL4=0," ",SUM(E39:AD39))</f>
        <v>102.81500000000001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10</v>
      </c>
      <c r="B40" s="28" t="str">
        <f>Meeuwen1!A5</f>
        <v>Bocken Jean Pierre</v>
      </c>
      <c r="C40" s="32">
        <f>IF(Meeuwen1!AL5=0," ",SUM(E40:AD40))</f>
        <v>80.554000000000002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8</v>
      </c>
      <c r="B41" s="28" t="str">
        <f>Meeuwen1!A6</f>
        <v xml:space="preserve">Bocken Lambert  </v>
      </c>
      <c r="C41" s="32">
        <f>IF(Meeuwen1!AL6=0," ",SUM(E41:AD41))</f>
        <v>70.356999999999999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9</v>
      </c>
      <c r="B42" s="28" t="str">
        <f>Meeuwen1!A7</f>
        <v>Goetschalkx Herman</v>
      </c>
      <c r="C42" s="32">
        <f>IF(Meeuwen1!AL7=0," ",SUM(E42:AD42))</f>
        <v>63.334000000000003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5</v>
      </c>
      <c r="B44" s="28" t="str">
        <f>Meeuwen1!A9</f>
        <v>Meeusen Marc</v>
      </c>
      <c r="C44" s="32">
        <f>IF(Meeuwen1!AL9=0," ",SUM(E44:AD44))</f>
        <v>41.199999999999996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8</v>
      </c>
      <c r="B45" s="28" t="str">
        <f>Meeuwen1!A10</f>
        <v>Van Loon Marc</v>
      </c>
      <c r="C45" s="32">
        <f>IF(Meeuwen1!AL10=0," ",SUM(E45:AD45))</f>
        <v>84.667000000000002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5</v>
      </c>
      <c r="B46" s="28" t="str">
        <f>Meeuwen1!A11</f>
        <v>Van Zoest Teun</v>
      </c>
      <c r="C46" s="32">
        <f>IF(Meeuwen1!AL11=0," ",SUM(E46:AD46))</f>
        <v>42.499000000000002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8</v>
      </c>
      <c r="B47" s="28" t="str">
        <f>Meeuwen1!A12</f>
        <v>Veraart Jos</v>
      </c>
      <c r="C47" s="32">
        <f>IF(Meeuwen1!AL12=0," ",SUM(E47:AD47))</f>
        <v>55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10</v>
      </c>
      <c r="B49" s="38" t="str">
        <f>Meeuwen1!A14</f>
        <v>Vossen Ronny  [NS 20]</v>
      </c>
      <c r="C49" s="32">
        <f>IF(Meeuwen1!AL14=0," ",SUM(E49:AD49))</f>
        <v>79.834000000000003</v>
      </c>
      <c r="E49" s="265">
        <f>IF(Meeuwen1!C14=(""),(""),ROUND(Meeuwen1!C14/20*10,3))</f>
        <v>11</v>
      </c>
      <c r="F49" s="265">
        <f>IF(Meeuwen1!D14=(""),(""),ROUND(Meeuwen1!D14/20*10,3))</f>
        <v>5</v>
      </c>
      <c r="G49" s="265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734.78700000000003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11</v>
      </c>
      <c r="B55" s="28" t="str">
        <f>Meeuwen2!A5</f>
        <v>De Backer Jerome</v>
      </c>
      <c r="C55" s="32">
        <f>IF(Meeuwen2!AL5=0," ",SUM(E55:AD55))</f>
        <v>133.94800000000001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8</v>
      </c>
      <c r="B57" s="28" t="str">
        <f>Meeuwen2!A7</f>
        <v xml:space="preserve">Jacobs Hugo            </v>
      </c>
      <c r="C57" s="32">
        <f>IF(Meeuwen2!AL7=0," ",SUM(E57:AD57))</f>
        <v>76.765000000000001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6</v>
      </c>
      <c r="B58" s="28" t="str">
        <f>Meeuwen2!A8</f>
        <v>Jacobs Willy</v>
      </c>
      <c r="C58" s="32">
        <f>IF(Meeuwen2!AL8=0," ",SUM(E58:AD58))</f>
        <v>47.875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10</v>
      </c>
      <c r="B61" s="28" t="str">
        <f>Meeuwen2!A11</f>
        <v xml:space="preserve">Present Fons </v>
      </c>
      <c r="C61" s="32">
        <f>IF(Meeuwen2!AL11=0," ",SUM(E61:AD61))</f>
        <v>114.09200000000003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4</v>
      </c>
      <c r="B62" s="38" t="str">
        <f>Meeuwen2!A12</f>
        <v>Present Marc [NS 20]</v>
      </c>
      <c r="C62" s="32">
        <f>IF(Meeuwen2!AL12=0," ",SUM(E62:AD62))</f>
        <v>44.864000000000004</v>
      </c>
      <c r="E62" s="265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5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5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9</v>
      </c>
      <c r="B63" s="28" t="str">
        <f>Meeuwen2!A13</f>
        <v>Suykerbuyk Stan</v>
      </c>
      <c r="C63" s="32">
        <f>IF(Meeuwen2!AL13=0," ",SUM(E63:AD63))</f>
        <v>105.151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9</v>
      </c>
      <c r="B64" s="28" t="str">
        <f>Meeuwen2!A14</f>
        <v xml:space="preserve">Vandersanden Lucien </v>
      </c>
      <c r="C64" s="32">
        <f>IF(Meeuwen2!AL14=0," ",SUM(E64:AD64))</f>
        <v>82.82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7</v>
      </c>
      <c r="B65" s="28" t="str">
        <f>Meeuwen2!A15</f>
        <v>Van Dorst Alfons</v>
      </c>
      <c r="C65" s="32">
        <f>IF(Meeuwen2!AL15=0," ",SUM(E65:AD65))</f>
        <v>72.203000000000003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10</v>
      </c>
      <c r="B66" s="28" t="str">
        <f>Meeuwen2!A16</f>
        <v xml:space="preserve">Van Thillo Sis   </v>
      </c>
      <c r="C66" s="32">
        <f>IF(Meeuwen2!AL16=0," ",SUM(E66:AD66))</f>
        <v>99.064999999999998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857.50500000000011</v>
      </c>
      <c r="D68" s="26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6</v>
      </c>
      <c r="B71" s="28" t="str">
        <f>Molenheike!A4</f>
        <v xml:space="preserve">Brauns Martin    </v>
      </c>
      <c r="C71" s="32">
        <f>IF(Molenheike!AL4=0," ",SUM(E71:AD71))</f>
        <v>55.789000000000001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10</v>
      </c>
      <c r="B72" s="28" t="str">
        <f>Molenheike!A5</f>
        <v>Brosens Luc</v>
      </c>
      <c r="C72" s="32">
        <f>IF(Molenheike!AL5=0," ",SUM(E72:AD72))</f>
        <v>96.551999999999992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11</v>
      </c>
      <c r="B73" s="80" t="str">
        <f>Molenheike!A6</f>
        <v>Dhooghe Jan</v>
      </c>
      <c r="C73" s="32">
        <f>IF(Molenheike!AL6=0," ",SUM(E73:AD73))</f>
        <v>113.334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10</v>
      </c>
      <c r="B74" s="28" t="str">
        <f>Molenheike!A7</f>
        <v>Keuppens Marc</v>
      </c>
      <c r="C74" s="32">
        <f>IF(Molenheike!AL7=0," ",SUM(E74:AD74))</f>
        <v>117.66800000000001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9</v>
      </c>
      <c r="B75" s="28" t="str">
        <f>Molenheike!A8</f>
        <v>Lambrechts Ferdy</v>
      </c>
      <c r="C75" s="32">
        <f>IF(Molenheike!AL8=0," ",SUM(E75:AD75))</f>
        <v>93.584999999999994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8</v>
      </c>
      <c r="B76" s="28" t="str">
        <f>Molenheike!A9</f>
        <v>Nelen Marc</v>
      </c>
      <c r="C76" s="32">
        <f>IF(Molenheike!AL9=0," ",SUM(E76:AD76))</f>
        <v>72.082999999999998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12</v>
      </c>
      <c r="B78" s="28" t="str">
        <f>Molenheike!A11</f>
        <v>Van Ginderen Jef</v>
      </c>
      <c r="C78" s="32">
        <f>IF(Molenheike!AL11=0," ",SUM(E78:AD78))</f>
        <v>130.74100000000001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10</v>
      </c>
      <c r="B79" s="28" t="str">
        <f>Molenheike!A12</f>
        <v>Van Ginderen Willy</v>
      </c>
      <c r="C79" s="32">
        <f>IF(Molenheike!AL12=0," ",SUM(E79:AD79))</f>
        <v>97.02600000000001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855.52800000000002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13</v>
      </c>
      <c r="B84" s="28" t="str">
        <f>Nispen!A4</f>
        <v>Bastiaensen Jan</v>
      </c>
      <c r="C84" s="32">
        <f>IF(Nispen!AL4=0," ",SUM(E84:AD84))</f>
        <v>129.999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9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9</v>
      </c>
      <c r="B85" s="28" t="str">
        <f>Nispen!A5</f>
        <v>Botermans Jan</v>
      </c>
      <c r="C85" s="32">
        <f>IF(Nispen!AL5=0," ",SUM(E85:AD85))</f>
        <v>72.917000000000002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9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13</v>
      </c>
      <c r="B86" s="28" t="str">
        <f>Nispen!A6</f>
        <v>Brouwers Vic</v>
      </c>
      <c r="C86" s="32">
        <f>IF(Nispen!AL6=0," ",SUM(E86:AD86))</f>
        <v>144.411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7</v>
      </c>
      <c r="B87" s="80" t="str">
        <f>Nispen!A7</f>
        <v>Cappaert Ivan</v>
      </c>
      <c r="C87" s="32">
        <f>IF(Nispen!AL7=0," ",SUM(E87:AD87))</f>
        <v>74.570999999999998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9</v>
      </c>
      <c r="B88" s="28" t="str">
        <f>Nispen!A8</f>
        <v xml:space="preserve">Kerstens Jac     </v>
      </c>
      <c r="C88" s="32">
        <f>IF(Nispen!AL8=0," ",SUM(E88:AD88))</f>
        <v>86.570999999999998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9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9">
        <f>IF(Nispen!L8=(""),(""),ROUND(Nispen!L8/Nispen!$B8*10,3))</f>
        <v>12.856999999999999</v>
      </c>
      <c r="O88" s="269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5</v>
      </c>
      <c r="B89" s="38" t="str">
        <f>Nispen!A9</f>
        <v>Klijn Toon [NS 20]</v>
      </c>
      <c r="C89" s="32">
        <f>IF(Nispen!AL9=0," ",SUM(E89:AD89))</f>
        <v>43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5">
        <f>IF(Nispen!E9=(""),(""),ROUND(Nispen!E9/20*10,3))</f>
        <v>12</v>
      </c>
      <c r="H89" s="265">
        <f>IF(Nispen!F9=(""),(""),ROUND(Nispen!F9/20*10,3))</f>
        <v>11</v>
      </c>
      <c r="I89" s="36" t="str">
        <f>IF(Nispen!G9=(""),(""),ROUND(Nispen!G9/Nispen!$B9*10,3))</f>
        <v/>
      </c>
      <c r="J89" s="265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9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6</v>
      </c>
      <c r="B92" s="28" t="str">
        <f>Nispen!A12</f>
        <v xml:space="preserve">Raats Antoon </v>
      </c>
      <c r="C92" s="32">
        <f>IF(Nispen!AL12=0," ",SUM(E92:AD92))</f>
        <v>51.579999999999991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9</v>
      </c>
      <c r="B93" s="28" t="str">
        <f>Nispen!A13</f>
        <v>Uijdehaag Nico</v>
      </c>
      <c r="C93" s="32">
        <f>IF(Nispen!AL13=0," ",SUM(E93:AD93))</f>
        <v>91.739000000000004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9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829.16800000000012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7</v>
      </c>
      <c r="B98" s="28" t="str">
        <f>Oudeglorie!A4</f>
        <v xml:space="preserve">Aerden Carl  </v>
      </c>
      <c r="C98" s="32">
        <f>IF(Oudeglorie!AL4=0," ",SUM(E98:AD98))</f>
        <v>87.501000000000005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5</v>
      </c>
      <c r="B99" s="28" t="str">
        <f>Oudeglorie!A5</f>
        <v xml:space="preserve">Beyers Jos    </v>
      </c>
      <c r="C99" s="32">
        <f>IF(Oudeglorie!AL5=0," ",SUM(E99:AD99))</f>
        <v>57.407999999999994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9</v>
      </c>
      <c r="B101" s="28" t="str">
        <f>Oudeglorie!A7</f>
        <v>Braat Guido</v>
      </c>
      <c r="C101" s="32">
        <f>IF(Oudeglorie!AL7=0," ",SUM(E101:AD101))</f>
        <v>99.998999999999995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8</v>
      </c>
      <c r="B103" s="28" t="str">
        <f>Oudeglorie!A9</f>
        <v>Gommers Jac</v>
      </c>
      <c r="C103" s="32">
        <f>IF(Oudeglorie!AL9=0," ",SUM(E103:AD103))</f>
        <v>77.222999999999999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6</v>
      </c>
      <c r="B104" s="28" t="str">
        <f>Oudeglorie!A10</f>
        <v>Jacobs Alfons</v>
      </c>
      <c r="C104" s="32">
        <f>IF(Oudeglorie!AL10=0," ",SUM(E104:AD104))</f>
        <v>45.356999999999999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6</v>
      </c>
      <c r="B105" s="28" t="str">
        <f>Oudeglorie!A11</f>
        <v>Jacobs Frans</v>
      </c>
      <c r="C105" s="32">
        <f>IF(Oudeglorie!AL11=0," ",SUM(E105:AD105))</f>
        <v>59.192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6</v>
      </c>
      <c r="B106" s="28" t="str">
        <f>Oudeglorie!A12</f>
        <v>Nelen Frans</v>
      </c>
      <c r="C106" s="32">
        <f>IF(Oudeglorie!AL12=0," ",SUM(E106:AD106))</f>
        <v>70.8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5</v>
      </c>
      <c r="B107" s="38" t="str">
        <f>Oudeglorie!A13</f>
        <v>Nelen Jef  [NS 25]</v>
      </c>
      <c r="C107" s="32">
        <f>IF(Oudeglorie!AL13=0," ",SUM(E107:AD107))</f>
        <v>50.030999999999992</v>
      </c>
      <c r="E107" s="265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5">
        <f>IF(Oudeglorie!J13=(""),(""),ROUND(Oudeglorie!J13/25*10,3))</f>
        <v>8</v>
      </c>
      <c r="M107" s="265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8</v>
      </c>
      <c r="B108" s="28" t="str">
        <f>Oudeglorie!A14</f>
        <v xml:space="preserve">Somers Ludo </v>
      </c>
      <c r="C108" s="32">
        <f>IF(Oudeglorie!AL14=0," ",SUM(E108:AD108))</f>
        <v>64.117999999999995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8</v>
      </c>
      <c r="B109" s="28" t="str">
        <f>Oudeglorie!A15</f>
        <v xml:space="preserve">Van Ginderen Ludo </v>
      </c>
      <c r="C109" s="32">
        <f>IF(Oudeglorie!AL15=0," ",SUM(E109:AD109))</f>
        <v>83.528999999999996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6</v>
      </c>
      <c r="B111" s="28" t="str">
        <f>Oudeglorie!A17</f>
        <v>Willemsen Willy</v>
      </c>
      <c r="C111" s="32">
        <f>IF(Oudeglorie!AL17=0," ",SUM(E111:AD111))</f>
        <v>70.271000000000001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855.67399999999986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6</v>
      </c>
      <c r="B117" s="28" t="str">
        <f>Meeuwkes!A5</f>
        <v>Buggenhout Danny</v>
      </c>
      <c r="C117" s="32">
        <f>IF(Meeuwkes!AL5=0," ",SUM(E117:AD117))</f>
        <v>54.878999999999998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5</v>
      </c>
      <c r="B118" s="28" t="str">
        <f>Meeuwkes!A6</f>
        <v>Deckx Achiel</v>
      </c>
      <c r="C118" s="32">
        <f>IF(Meeuwkes!AL6=0," ",SUM(E118:AD118))</f>
        <v>52.105000000000004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12</v>
      </c>
      <c r="B119" s="28" t="str">
        <f>Meeuwkes!A7</f>
        <v>Herreygers Leon</v>
      </c>
      <c r="C119" s="32">
        <f>IF(Meeuwkes!AL7=0," ",SUM(E119:AD119))</f>
        <v>138.4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9</v>
      </c>
      <c r="B120" s="28" t="str">
        <f>Meeuwkes!A8</f>
        <v>Loos Piet</v>
      </c>
      <c r="C120" s="32">
        <f>IF(Meeuwkes!AL8=0," ",SUM(E120:AD120))</f>
        <v>64.667000000000002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9</v>
      </c>
      <c r="B121" s="80" t="str">
        <f>Meeuwkes!A9</f>
        <v xml:space="preserve">Quick Louis </v>
      </c>
      <c r="C121" s="32">
        <f>IF(Meeuwkes!AL9=0," ",SUM(E121:AD121))</f>
        <v>100.002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6</v>
      </c>
      <c r="B122" s="28" t="str">
        <f>Meeuwkes!A10</f>
        <v>Reyssens Martin</v>
      </c>
      <c r="C122" s="32">
        <f>IF(Meeuwkes!AL10=0," ",SUM(E122:AD122))</f>
        <v>65.652999999999992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8</v>
      </c>
      <c r="B123" s="28" t="str">
        <f>Meeuwkes!A11</f>
        <v xml:space="preserve">Schenk André </v>
      </c>
      <c r="C123" s="32">
        <f>IF(Meeuwkes!AL11=0," ",SUM(E123:AD123))</f>
        <v>102.65700000000001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3</v>
      </c>
      <c r="B124" s="28" t="str">
        <f>Meeuwkes!A12</f>
        <v>Van Doren Hugo</v>
      </c>
      <c r="C124" s="32">
        <f>IF(Meeuwkes!AL12=0," ",SUM(E124:AD124))</f>
        <v>23.207000000000001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8</v>
      </c>
      <c r="B125" s="28" t="str">
        <f>Meeuwkes!A13</f>
        <v xml:space="preserve">De Roomer Jan    </v>
      </c>
      <c r="C125" s="32">
        <f>IF(Meeuwkes!AL13=0," ",SUM(E125:AD125))</f>
        <v>75.186999999999998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4</v>
      </c>
      <c r="B126" s="28" t="str">
        <f>Meeuwkes!A14</f>
        <v>Van Hees Eduard</v>
      </c>
      <c r="C126" s="32">
        <f>IF(Meeuwkes!AL14=0," ",SUM(E126:AD126))</f>
        <v>33.667000000000002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866.17400000000009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10</v>
      </c>
      <c r="B132" s="28" t="str">
        <f>Rooiebal1!A4</f>
        <v>Aerts Jan</v>
      </c>
      <c r="C132" s="32">
        <f>IF(Rooiebal1!AL4=0," ",SUM(E132:AD132))</f>
        <v>105.791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11</v>
      </c>
      <c r="B133" s="28" t="str">
        <f>Rooiebal1!A5</f>
        <v xml:space="preserve">Dictus Peter       </v>
      </c>
      <c r="C133" s="32">
        <f>IF(Rooiebal1!AL5=0," ",SUM(E133:AD133))</f>
        <v>93.888999999999996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7</v>
      </c>
      <c r="B134" s="80" t="str">
        <f>Rooiebal1!A6</f>
        <v xml:space="preserve">Hereygers Cis     </v>
      </c>
      <c r="C134" s="32">
        <f>IF(Rooiebal1!AL6=0," ",SUM(E134:AD134))</f>
        <v>60.588000000000001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8</v>
      </c>
      <c r="B135" s="28" t="str">
        <f>Rooiebal1!A7</f>
        <v xml:space="preserve">Karremans Dries  </v>
      </c>
      <c r="C135" s="32">
        <f>IF(Rooiebal1!AL7=0," ",SUM(E135:AD135))</f>
        <v>85.415999999999997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7</v>
      </c>
      <c r="B136" s="28" t="str">
        <f>Rooiebal1!A8</f>
        <v xml:space="preserve">Nelen Ronny       </v>
      </c>
      <c r="C136" s="32">
        <f>IF(Rooiebal1!AL8=0," ",SUM(E136:AD136))</f>
        <v>63.333999999999996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10</v>
      </c>
      <c r="B137" s="28" t="str">
        <f>Rooiebal1!A9</f>
        <v>Raeymakers Liliane</v>
      </c>
      <c r="C137" s="32">
        <f>IF(Rooiebal1!AL9=0," ",SUM(E137:AD137))</f>
        <v>98.097000000000008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8</v>
      </c>
      <c r="B139" s="81" t="str">
        <f>Rooiebal1!A11</f>
        <v>Van Hooydonck René</v>
      </c>
      <c r="C139" s="32">
        <f>IF(Rooiebal1!AL11=0," ",SUM(E139:AD139))</f>
        <v>59.629999999999995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12</v>
      </c>
      <c r="B140" s="81" t="str">
        <f>Rooiebal1!A12</f>
        <v>Van Oers Theo</v>
      </c>
      <c r="C140" s="32">
        <f>IF(Rooiebal1!AL12=0," ",SUM(E140:AD140))</f>
        <v>108.53100000000001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9</v>
      </c>
      <c r="B141" s="28" t="str">
        <f>Rooiebal1!A13</f>
        <v>Vergouwen Willy</v>
      </c>
      <c r="C141" s="32">
        <f>IF(Rooiebal1!AL13=0," ",SUM(E141:AD141))</f>
        <v>72.572000000000003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776.54300000000001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5</v>
      </c>
      <c r="B146" s="128" t="str">
        <f>Rooiebal2!A4</f>
        <v xml:space="preserve">Costermans Leo   </v>
      </c>
      <c r="C146" s="32">
        <f>IF(Rooiebal2!AL4=0," ",SUM(E146:AD146))</f>
        <v>54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7</v>
      </c>
      <c r="B147" s="128" t="str">
        <f>Rooiebal2!A5</f>
        <v>Dictus Fred</v>
      </c>
      <c r="C147" s="32">
        <f>IF(Rooiebal2!AL5=0," ",SUM(E147:AD147))</f>
        <v>65.763000000000005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10</v>
      </c>
      <c r="B148" s="128" t="str">
        <f>Rooiebal2!A6</f>
        <v xml:space="preserve">Donckers Johnny </v>
      </c>
      <c r="C148" s="32">
        <f>IF(Rooiebal2!AL6=0," ",SUM(E148:AD148))</f>
        <v>130.80000000000001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8</v>
      </c>
      <c r="B150" s="129" t="str">
        <f>Rooiebal2!A8</f>
        <v>Lodewijckx Willy</v>
      </c>
      <c r="C150" s="32">
        <f>IF(Rooiebal2!AL8=0," ",SUM(E150:AD150))</f>
        <v>83.5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5</v>
      </c>
      <c r="B151" s="128" t="str">
        <f>Rooiebal2!A9</f>
        <v xml:space="preserve">Mathyssen Guy  </v>
      </c>
      <c r="C151" s="32">
        <f>IF(Rooiebal2!AL9=0," ",SUM(E151:AD151))</f>
        <v>35.587000000000003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8</v>
      </c>
      <c r="B152" s="128" t="str">
        <f>Rooiebal2!A10</f>
        <v>Ossenblok Ed</v>
      </c>
      <c r="C152" s="32">
        <f>IF(Rooiebal2!AL10=0," ",SUM(E152:AD152))</f>
        <v>74.286000000000001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8</v>
      </c>
      <c r="B154" s="128" t="str">
        <f>Rooiebal2!A12</f>
        <v>Swinnen Michel</v>
      </c>
      <c r="C154" s="32">
        <f>IF(Rooiebal2!AL12=0," ",SUM(E154:AD154))</f>
        <v>83.947000000000003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9</v>
      </c>
      <c r="B155" s="128" t="str">
        <f>Rooiebal2!A13</f>
        <v>Veraart Swa</v>
      </c>
      <c r="C155" s="32">
        <f>IF(Rooiebal2!AL13=0," ",SUM(E155:AD155))</f>
        <v>91.25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7</v>
      </c>
      <c r="B156" s="210" t="str">
        <f>Rooiebal2!A14</f>
        <v>Konings Kamiel [NS 20]</v>
      </c>
      <c r="C156" s="32">
        <f>IF(Rooiebal2!AL14=0," ",SUM(E156:AD156))</f>
        <v>39.334000000000003</v>
      </c>
      <c r="E156" s="36" t="str">
        <f>IF(Rooiebal2!C14=(""),(""),ROUND(Rooiebal2!C14/Rooiebal2!$B14*10,3))</f>
        <v/>
      </c>
      <c r="F156" s="265">
        <f>IF(Rooiebal2!D14=(""),(""),ROUND(Rooiebal2!D14/20*10,3))</f>
        <v>7</v>
      </c>
      <c r="G156" s="36" t="str">
        <f>IF(Rooiebal2!E14=(""),(""),ROUND(Rooiebal2!E14/Rooiebal2!$B14*10,3))</f>
        <v/>
      </c>
      <c r="H156" s="265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5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818.33999999999992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10</v>
      </c>
      <c r="B161" s="28" t="str">
        <f>Putte!A4</f>
        <v xml:space="preserve">Anthonissen Paul </v>
      </c>
      <c r="C161" s="32">
        <f>IF(Putte!AL4=0," ",SUM(E161:AD161))</f>
        <v>105.001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7</v>
      </c>
      <c r="B162" s="81" t="str">
        <f>Putte!A5</f>
        <v>De Beukelaer Freddy</v>
      </c>
      <c r="C162" s="32">
        <f>IF(Putte!AL5=0," ",SUM(E162:AD162))</f>
        <v>66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10</v>
      </c>
      <c r="B163" s="81" t="str">
        <f>Putte!A6</f>
        <v>Evers Henri</v>
      </c>
      <c r="C163" s="32">
        <f>IF(Putte!AL6=0," ",SUM(E163:AD163))</f>
        <v>83.334000000000003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10</v>
      </c>
      <c r="B164" s="28" t="str">
        <f>Putte!A7</f>
        <v xml:space="preserve">Palinckx Fons </v>
      </c>
      <c r="C164" s="32">
        <f>IF(Putte!AL7=0," ",SUM(E164:AD164))</f>
        <v>93.417999999999992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12</v>
      </c>
      <c r="B166" s="28" t="str">
        <f>Putte!A9</f>
        <v xml:space="preserve">Plompen Dirk </v>
      </c>
      <c r="C166" s="32">
        <f>IF(Putte!AL9=0," ",SUM(E166:AD166))</f>
        <v>136.21699999999998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7</v>
      </c>
      <c r="B167" s="28" t="str">
        <f>Putte!A10</f>
        <v xml:space="preserve">Schaeken Pierre </v>
      </c>
      <c r="C167" s="32">
        <f>IF(Putte!AL10=0," ",SUM(E167:AD167))</f>
        <v>80.5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9</v>
      </c>
      <c r="B170" s="28" t="str">
        <f>Putte!A13</f>
        <v>Verelst Gilbert</v>
      </c>
      <c r="C170" s="32">
        <f>IF(Putte!AL13=0," ",SUM(E170:AD170))</f>
        <v>95.834000000000003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8</v>
      </c>
      <c r="B172" s="28" t="str">
        <f>Putte!A15</f>
        <v xml:space="preserve">Eyckmans Luc   </v>
      </c>
      <c r="C172" s="32">
        <f>IF(Putte!AL15=0," ",SUM(E172:AD172))</f>
        <v>75.653000000000006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3">
      <c r="A173" s="27" t="str">
        <f t="shared" ref="A173" si="135">IF(SUM(E173:AD173)=0,(" "),COUNTIF(E173:AD173,"&gt;0"))</f>
        <v xml:space="preserve"> </v>
      </c>
      <c r="B173" s="38" t="str">
        <f>Putte!A16</f>
        <v>Moerbeek Wilfried (ns)</v>
      </c>
      <c r="C173" s="32" t="str">
        <f>IF(Putte!AL16=0," ",SUM(E173:AD173))</f>
        <v xml:space="preserve"> 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 t="str">
        <f>IF(Putte!W16=(""),(""),ROUND(Putte!W16/Putte!$T16*10,3))</f>
        <v/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 x14ac:dyDescent="0.3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 t="str">
        <f t="shared" si="136"/>
        <v xml:space="preserve"> </v>
      </c>
      <c r="T174" s="36" t="str">
        <f t="shared" si="136"/>
        <v xml:space="preserve"> </v>
      </c>
      <c r="U174" s="36" t="str">
        <f t="shared" si="136"/>
        <v xml:space="preserve"> 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5">
      <c r="A175" s="37"/>
      <c r="B175" s="156"/>
      <c r="C175" s="41">
        <f>SUM(C161:C172)</f>
        <v>861.86500000000001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 t="str">
        <f t="shared" si="137"/>
        <v xml:space="preserve"> </v>
      </c>
      <c r="T175" s="40" t="str">
        <f t="shared" si="137"/>
        <v xml:space="preserve"> </v>
      </c>
      <c r="U175" s="40" t="str">
        <f t="shared" si="137"/>
        <v xml:space="preserve"> 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 x14ac:dyDescent="0.3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3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3">
      <c r="A178" s="27">
        <f t="shared" ref="A178:A189" si="138">IF(SUM(E178:AD178)=0,(" "),COUNTIF(E178:AD178,"&gt;0"))</f>
        <v>4</v>
      </c>
      <c r="B178" s="28" t="str">
        <f>Wildert1!A4</f>
        <v>Adriaansen Jan</v>
      </c>
      <c r="C178" s="32">
        <f>IF(Wildert1!AL4=0," ",SUM(E178:AD178))</f>
        <v>30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 t="str">
        <f>IF(Wildert1!V4=(""),(""),ROUND(Wildert1!V4/Wildert1!$T4*10,3))</f>
        <v/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3">
      <c r="A179" s="27">
        <f t="shared" si="138"/>
        <v>8</v>
      </c>
      <c r="B179" s="28" t="str">
        <f>Wildert1!A5</f>
        <v>Brouwers Adri</v>
      </c>
      <c r="C179" s="32">
        <f>IF(Wildert1!AL5=0," ",SUM(E179:AD179))</f>
        <v>69.736999999999995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 t="str">
        <f>IF(Wildert1!W5=(""),(""),ROUND(Wildert1!W5/Wildert1!$T5*10,3))</f>
        <v/>
      </c>
      <c r="U179" s="36" t="str">
        <f>IF(Wildert1!X5=(""),(""),ROUND(Wildert1!X5/Wildert1!$T5*10,3))</f>
        <v/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3">
      <c r="A180" s="27">
        <f t="shared" si="138"/>
        <v>9</v>
      </c>
      <c r="B180" s="38" t="str">
        <f>Wildert1!A6</f>
        <v>Buijk Jan  [NS 55]</v>
      </c>
      <c r="C180" s="32">
        <f>IF(Wildert1!AL6=0," ",SUM(E180:AD180))</f>
        <v>96.862000000000009</v>
      </c>
      <c r="E180" s="265">
        <f>IF(Wildert1!C6=(""),(""),ROUND(Wildert1!C6/55*10,3))</f>
        <v>10.727</v>
      </c>
      <c r="F180" s="265">
        <f>IF(Wildert1!D6=(""),(""),ROUND(Wildert1!D6/55*10,3))</f>
        <v>8.5449999999999999</v>
      </c>
      <c r="G180" s="265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 t="str">
        <f>IF(Wildert1!X6=(""),(""),ROUND(Wildert1!X6/Wildert1!$T6*10,3))</f>
        <v/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3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3">
      <c r="A182" s="27">
        <f t="shared" si="138"/>
        <v>8</v>
      </c>
      <c r="B182" s="80" t="str">
        <f>Wildert1!A8</f>
        <v>Dries Louis</v>
      </c>
      <c r="C182" s="32">
        <f>IF(Wildert1!AL8=0," ",SUM(E182:AD182))</f>
        <v>78.12700000000001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 t="str">
        <f>IF(Wildert1!V8=(""),(""),ROUND(Wildert1!V8/Wildert1!$T8*10,3))</f>
        <v/>
      </c>
      <c r="T182" s="36" t="str">
        <f>IF(Wildert1!W8=(""),(""),ROUND(Wildert1!W8/Wildert1!$T8*10,3))</f>
        <v/>
      </c>
      <c r="U182" s="36" t="str">
        <f>IF(Wildert1!X8=(""),(""),ROUND(Wildert1!X8/Wildert1!$T8*10,3))</f>
        <v/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3">
      <c r="A183" s="27">
        <f t="shared" si="138"/>
        <v>4</v>
      </c>
      <c r="B183" s="28" t="str">
        <f>Wildert1!A9</f>
        <v>Kerstens Marc</v>
      </c>
      <c r="C183" s="32">
        <f>IF(Wildert1!AL9=0," ",SUM(E183:AD183))</f>
        <v>53.158000000000001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 t="str">
        <f>IF(Wildert1!V9=(""),(""),ROUND(Wildert1!V9/Wildert1!$T9*10,3))</f>
        <v/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3">
      <c r="A184" s="27">
        <f t="shared" si="138"/>
        <v>4</v>
      </c>
      <c r="B184" s="28" t="str">
        <f>Wildert1!A10</f>
        <v>Kerstens Ronald</v>
      </c>
      <c r="C184" s="32">
        <f>IF(Wildert1!AL10=0," ",SUM(E184:AD184))</f>
        <v>39.048000000000002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 t="str">
        <f>IF(Wildert1!W10=(""),(""),ROUND(Wildert1!W10/Wildert1!$T10*10,3))</f>
        <v/>
      </c>
      <c r="U184" s="36" t="str">
        <f>IF(Wildert1!X10=(""),(""),ROUND(Wildert1!X10/Wildert1!$T10*10,3))</f>
        <v/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3">
      <c r="A185" s="27">
        <f t="shared" si="138"/>
        <v>6</v>
      </c>
      <c r="B185" s="28" t="str">
        <f>Wildert1!A11</f>
        <v xml:space="preserve">Konings Guido </v>
      </c>
      <c r="C185" s="32">
        <f>IF(Wildert1!AL11=0," ",SUM(E185:AD185))</f>
        <v>82.084000000000003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 t="str">
        <f>IF(Wildert1!W11=(""),(""),ROUND(Wildert1!W11/Wildert1!$T11*10,3))</f>
        <v/>
      </c>
      <c r="U185" s="36" t="str">
        <f>IF(Wildert1!X11=(""),(""),ROUND(Wildert1!X11/Wildert1!$T11*10,3))</f>
        <v/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3">
      <c r="A186" s="27">
        <f t="shared" si="138"/>
        <v>8</v>
      </c>
      <c r="B186" s="28" t="str">
        <f>Wildert1!A12</f>
        <v xml:space="preserve">Kustermans Toon </v>
      </c>
      <c r="C186" s="32">
        <f>IF(Wildert1!AL12=0," ",SUM(E186:AD186))</f>
        <v>73.946999999999989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 t="str">
        <f>IF(Wildert1!V12=(""),(""),ROUND(Wildert1!V12/Wildert1!$T12*10,3))</f>
        <v/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3">
      <c r="A187" s="27">
        <f t="shared" si="138"/>
        <v>7</v>
      </c>
      <c r="B187" s="28" t="str">
        <f>Wildert1!A13</f>
        <v xml:space="preserve">Sarra-Ribo Jef      </v>
      </c>
      <c r="C187" s="32">
        <f>IF(Wildert1!AL13=0," ",SUM(E187:AD187))</f>
        <v>65.795000000000002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 t="str">
        <f>IF(Wildert1!V13=(""),(""),ROUND(Wildert1!V13/Wildert1!$T13*10,3))</f>
        <v/>
      </c>
      <c r="T187" s="36" t="str">
        <f>IF(Wildert1!W13=(""),(""),ROUND(Wildert1!W13/Wildert1!$T13*10,3))</f>
        <v/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3">
      <c r="A188" s="27">
        <f t="shared" si="138"/>
        <v>6</v>
      </c>
      <c r="B188" s="28" t="str">
        <f>Wildert1!A14</f>
        <v>Sas Ronny</v>
      </c>
      <c r="C188" s="32">
        <f>IF(Wildert1!AL14=0," ",SUM(E188:AD188))</f>
        <v>55.332999999999998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 t="str">
        <f>IF(Wildert1!X14=(""),(""),ROUND(Wildert1!X14/Wildert1!$T14*10,3))</f>
        <v/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3">
      <c r="A189" s="27">
        <f t="shared" si="138"/>
        <v>10</v>
      </c>
      <c r="B189" s="28" t="str">
        <f>Wildert1!A15</f>
        <v>Thijs Jef</v>
      </c>
      <c r="C189" s="32">
        <f>IF(Wildert1!AL15=0," ",SUM(E189:AD189))</f>
        <v>100.477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 t="str">
        <f>IF(Wildert1!W15=(""),(""),ROUND(Wildert1!W15/Wildert1!$T15*10,3))</f>
        <v/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3">
      <c r="A190" s="27">
        <f t="shared" ref="A190" si="139">IF(SUM(E190:AD190)=0,(" "),COUNTIF(E190:AD190,"&gt;0"))</f>
        <v>5</v>
      </c>
      <c r="B190" s="38" t="str">
        <f>Wildert1!A16</f>
        <v xml:space="preserve">Wetzer Rik [NS 20] </v>
      </c>
      <c r="C190" s="32">
        <f>IF(Wildert1!AL16=0," ",SUM(E190:AD190))</f>
        <v>34.334000000000003</v>
      </c>
      <c r="E190" s="36" t="str">
        <f>IF(Wildert1!C16=(""),(""),ROUND(Wildert1!C16/Wildert1!$B16*10,3))</f>
        <v/>
      </c>
      <c r="F190" s="265">
        <f>IF(Wildert1!D16=(""),(""),ROUND(Wildert1!D16/20*10,3))</f>
        <v>4</v>
      </c>
      <c r="G190" s="36" t="str">
        <f>IF(Wildert1!E16=(""),(""),ROUND(Wildert1!E16/Wildert1!$B16*10,3))</f>
        <v/>
      </c>
      <c r="H190" s="265">
        <f>IF(Wildert1!F16=(""),(""),ROUND(Wildert1!F16/20*10,3))</f>
        <v>8.5</v>
      </c>
      <c r="I190" s="36" t="str">
        <f>IF(Wildert1!G16=(""),(""),ROUND(Wildert1!G16/Wildert1!$B16*10,3))</f>
        <v/>
      </c>
      <c r="J190" s="265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 t="str">
        <f>IF(Wildert1!V16=(""),(""),ROUND(Wildert1!V16/Wildert1!$T16*10,3))</f>
        <v/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3">
      <c r="A191" s="27">
        <f t="shared" ref="A191" si="140">IF(SUM(E191:AD191)=0,(" "),COUNTIF(E191:AD191,"&gt;0"))</f>
        <v>1</v>
      </c>
      <c r="B191" s="38" t="str">
        <f>Wildert1!A17</f>
        <v>Seymus Eddy (ns)</v>
      </c>
      <c r="C191" s="32">
        <f>IF(Wildert1!AL17=0," ",SUM(E191:AD191))</f>
        <v>8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 t="str">
        <f>IF(Wildert1!W17=(""),(""),ROUND(Wildert1!W17/Wildert1!$T17*10,3))</f>
        <v/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 x14ac:dyDescent="0.3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 t="str">
        <f t="shared" si="141"/>
        <v xml:space="preserve"> </v>
      </c>
      <c r="T192" s="36" t="str">
        <f t="shared" si="141"/>
        <v xml:space="preserve"> </v>
      </c>
      <c r="U192" s="36" t="str">
        <f t="shared" si="141"/>
        <v xml:space="preserve"> 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5">
      <c r="A193" s="37"/>
      <c r="B193" s="156"/>
      <c r="C193" s="41">
        <f>SUM(C178:C190)</f>
        <v>814.90299999999979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 t="str">
        <f t="shared" si="142"/>
        <v xml:space="preserve"> </v>
      </c>
      <c r="T193" s="40" t="str">
        <f t="shared" si="142"/>
        <v xml:space="preserve"> </v>
      </c>
      <c r="U193" s="40" t="str">
        <f t="shared" si="142"/>
        <v xml:space="preserve"> 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 x14ac:dyDescent="0.3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3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3">
      <c r="A196" s="27">
        <f t="shared" ref="A196:A206" si="143">IF(SUM(E196:AD196)=0,(" "),COUNTIF(E196:AD196,"&gt;0"))</f>
        <v>3</v>
      </c>
      <c r="B196" s="28" t="str">
        <f>Wildert2!A4</f>
        <v xml:space="preserve">Aernouts Johan  </v>
      </c>
      <c r="C196" s="32">
        <f>IF(Wildert2!AL4=0," ",SUM(E196:AD196))</f>
        <v>35.349000000000004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 t="str">
        <f>IF(Wildert2!V4=(""),(""),ROUND(Wildert2!V4/Wildert2!$T4*10,3))</f>
        <v/>
      </c>
      <c r="T196" s="36" t="str">
        <f>IF(Wildert2!W4=(""),(""),ROUND(Wildert2!W4/Wildert2!$T4*10,3))</f>
        <v/>
      </c>
      <c r="U196" s="36" t="str">
        <f>IF(Wildert2!X4=(""),(""),ROUND(Wildert2!X4/Wildert2!$T4*10,3))</f>
        <v/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3">
      <c r="A197" s="27">
        <f t="shared" si="143"/>
        <v>12</v>
      </c>
      <c r="B197" s="81" t="str">
        <f>Wildert2!A5</f>
        <v>Eestermans René</v>
      </c>
      <c r="C197" s="32">
        <f>IF(Wildert2!AL5=0," ",SUM(E197:AD197))</f>
        <v>123.571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9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8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 t="str">
        <f>IF(Wildert2!V5=(""),(""),ROUND(Wildert2!V5/Wildert2!$T5*10,3))</f>
        <v/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3">
      <c r="A198" s="27">
        <f t="shared" si="143"/>
        <v>12</v>
      </c>
      <c r="B198" s="28" t="str">
        <f>Wildert2!A6</f>
        <v xml:space="preserve">Eijckholt Adrie              </v>
      </c>
      <c r="C198" s="32">
        <f>IF(Wildert2!AL6=0," ",SUM(E198:AD198))</f>
        <v>111.42899999999999</v>
      </c>
      <c r="E198" s="36">
        <f>IF(Wildert2!C6=(""),(""),ROUND(Wildert2!C6/Wildert2!$B6*10,3))</f>
        <v>9.048</v>
      </c>
      <c r="F198" s="269">
        <f>IF(Wildert2!D6=(""),(""),ROUND(Wildert2!D6/Wildert2!$B6*10,3))</f>
        <v>11.667</v>
      </c>
      <c r="G198" s="269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8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 t="str">
        <f>IF(Wildert2!V6=(""),(""),ROUND(Wildert2!V6/Wildert2!$T6*10,3))</f>
        <v/>
      </c>
      <c r="T198" s="36" t="str">
        <f>IF(Wildert2!W6=(""),(""),ROUND(Wildert2!W6/Wildert2!$T6*10,3))</f>
        <v/>
      </c>
      <c r="U198" s="36" t="str">
        <f>IF(Wildert2!X6=(""),(""),ROUND(Wildert2!X6/Wildert2!$T6*10,3))</f>
        <v/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3">
      <c r="A199" s="27">
        <f t="shared" si="143"/>
        <v>13</v>
      </c>
      <c r="B199" s="81" t="str">
        <f>Wildert2!A7</f>
        <v xml:space="preserve">Francken Robert </v>
      </c>
      <c r="C199" s="93">
        <f>IF(Wildert2!AL7=0," ",SUM(E199:AD199))</f>
        <v>156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8">
        <f>IF(Wildert2!H7=(""),(""),ROUND(Wildert2!H7/Wildert2!$B7*10,3))</f>
        <v>16.25</v>
      </c>
      <c r="K199" s="268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 t="str">
        <f>IF(Wildert2!W7=(""),(""),ROUND(Wildert2!W7/Wildert2!$T7*10,3))</f>
        <v/>
      </c>
      <c r="U199" s="36" t="str">
        <f>IF(Wildert2!X7=(""),(""),ROUND(Wildert2!X7/Wildert2!$T7*10,3))</f>
        <v/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3">
      <c r="A200" s="27">
        <f t="shared" si="143"/>
        <v>6</v>
      </c>
      <c r="B200" s="81" t="str">
        <f>Wildert2!A8</f>
        <v xml:space="preserve">Leys Herman </v>
      </c>
      <c r="C200" s="32">
        <f>IF(Wildert2!AL8=0," ",SUM(E200:AD200))</f>
        <v>76.251000000000005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 t="str">
        <f>IF(Wildert2!V8=(""),(""),ROUND(Wildert2!V8/Wildert2!$T8*10,3))</f>
        <v/>
      </c>
      <c r="T200" s="36" t="str">
        <f>IF(Wildert2!W8=(""),(""),ROUND(Wildert2!W8/Wildert2!$T8*10,3))</f>
        <v/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3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3">
      <c r="A202" s="27">
        <f t="shared" si="143"/>
        <v>5</v>
      </c>
      <c r="B202" s="210" t="str">
        <f>Wildert2!A10</f>
        <v>Peeters Hugo [NS 36]</v>
      </c>
      <c r="C202" s="32">
        <f>IF(Wildert2!AL10=0," ",SUM(E202:AD202))</f>
        <v>51.60199999999999</v>
      </c>
      <c r="E202" s="265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5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5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 t="str">
        <f>IF(Wildert2!X10=(""),(""),ROUND(Wildert2!X10/Wildert2!$T10*10,3))</f>
        <v/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3">
      <c r="A203" s="27">
        <f t="shared" si="143"/>
        <v>9</v>
      </c>
      <c r="B203" s="38" t="str">
        <f>Wildert2!A11</f>
        <v xml:space="preserve">Scholtis Vic  [NS 49] </v>
      </c>
      <c r="C203" s="32">
        <f>IF(Wildert2!AL11=0," ",SUM(E203:AD203))</f>
        <v>102.57300000000001</v>
      </c>
      <c r="E203" s="36" t="str">
        <f>IF(Wildert2!C11=(""),(""),ROUND(Wildert2!C11/Wildert2!$B11*10,3))</f>
        <v/>
      </c>
      <c r="F203" s="265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5">
        <f>IF(Wildert2!F11=(""),(""),ROUND(Wildert2!F11/49*10,3))</f>
        <v>10</v>
      </c>
      <c r="I203" s="265">
        <f>IF(Wildert2!G11=(""),(""),ROUND(Wildert2!G11/49*10,3))</f>
        <v>6.5309999999999997</v>
      </c>
      <c r="J203" s="268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 t="str">
        <f>IF(Wildert2!V11=(""),(""),ROUND(Wildert2!V11/Wildert2!$T11*10,3))</f>
        <v/>
      </c>
      <c r="T203" s="36" t="str">
        <f>IF(Wildert2!W11=(""),(""),ROUND(Wildert2!W11/Wildert2!$T11*10,3))</f>
        <v/>
      </c>
      <c r="U203" s="36" t="str">
        <f>IF(Wildert2!X11=(""),(""),ROUND(Wildert2!X11/Wildert2!$T11*10,3))</f>
        <v/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3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3">
      <c r="A205" s="27">
        <f t="shared" si="143"/>
        <v>10</v>
      </c>
      <c r="B205" s="28" t="str">
        <f>Wildert2!A13</f>
        <v xml:space="preserve">Van Ginneken Ludo </v>
      </c>
      <c r="C205" s="32">
        <f>IF(Wildert2!AL13=0," ",SUM(E205:AD205))</f>
        <v>108.88800000000001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9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8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 t="str">
        <f>IF(Wildert2!W13=(""),(""),ROUND(Wildert2!W13/Wildert2!$T13*10,3))</f>
        <v/>
      </c>
      <c r="U205" s="36" t="str">
        <f>IF(Wildert2!X13=(""),(""),ROUND(Wildert2!X13/Wildert2!$T13*10,3))</f>
        <v/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3">
      <c r="A206" s="27">
        <f t="shared" si="143"/>
        <v>9</v>
      </c>
      <c r="B206" s="28" t="str">
        <f>Wildert2!A14</f>
        <v>Van Hooydonck Swa</v>
      </c>
      <c r="C206" s="32">
        <f>IF(Wildert2!AL14=0," ",SUM(E206:AD206))</f>
        <v>84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9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 t="str">
        <f>IF(Wildert2!W14=(""),(""),ROUND(Wildert2!W14/Wildert2!$T14*10,3))</f>
        <v/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 x14ac:dyDescent="0.3">
      <c r="A207" s="27">
        <f t="shared" ref="A207" si="144">IF(SUM(E207:AD207)=0,(" "),COUNTIF(E207:AD207,"&gt;0"))</f>
        <v>3</v>
      </c>
      <c r="B207" s="28" t="str">
        <f>Wildert2!A15</f>
        <v>Wiericx Herman</v>
      </c>
      <c r="C207" s="32">
        <f>IF(Wildert2!AL15=0," ",SUM(E207:AD207))</f>
        <v>35.200000000000003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9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 t="str">
        <f>IF(Wildert2!V15=(""),(""),ROUND(Wildert2!V15/Wildert2!$T15*10,3))</f>
        <v/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 x14ac:dyDescent="0.3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 t="str">
        <f t="shared" si="145"/>
        <v xml:space="preserve"> </v>
      </c>
      <c r="T208" s="36" t="str">
        <f t="shared" si="145"/>
        <v xml:space="preserve"> </v>
      </c>
      <c r="U208" s="36" t="str">
        <f t="shared" si="145"/>
        <v xml:space="preserve"> 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5">
      <c r="A209" s="37"/>
      <c r="B209" s="38"/>
      <c r="C209" s="41">
        <f>SUM(C196:C207)</f>
        <v>915.41300000000001</v>
      </c>
      <c r="D209" s="258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 t="str">
        <f t="shared" si="146"/>
        <v xml:space="preserve"> </v>
      </c>
      <c r="T209" s="40" t="str">
        <f t="shared" si="146"/>
        <v xml:space="preserve"> </v>
      </c>
      <c r="U209" s="40" t="str">
        <f t="shared" si="146"/>
        <v xml:space="preserve"> 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 x14ac:dyDescent="0.3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3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3">
      <c r="A212" s="27">
        <f t="shared" ref="A212:A222" si="147">IF(SUM(E212:AD212)=0,(" "),COUNTIF(E212:AD212,"&gt;0"))</f>
        <v>7</v>
      </c>
      <c r="B212" s="28" t="str">
        <f>DeBeek!A4</f>
        <v xml:space="preserve">Bergmans Armand </v>
      </c>
      <c r="C212" s="32">
        <f>IF(DeBeek!AL4=0," ",SUM(E212:AD212))</f>
        <v>69.31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 t="str">
        <f>IF(DeBeek!V4=(""),(""),ROUND(DeBeek!V4/DeBeek!$T4*10,3))</f>
        <v/>
      </c>
      <c r="T212" s="36" t="str">
        <f>IF(DeBeek!W4=(""),(""),ROUND(DeBeek!W4/DeBeek!$T4*10,3))</f>
        <v/>
      </c>
      <c r="U212" s="36" t="str">
        <f>IF(DeBeek!X4=(""),(""),ROUND(DeBeek!X4/DeBeek!$T4*10,3))</f>
        <v/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3">
      <c r="A213" s="27">
        <f t="shared" si="147"/>
        <v>7</v>
      </c>
      <c r="B213" s="80" t="str">
        <f>DeBeek!A5</f>
        <v>Beyers Armand</v>
      </c>
      <c r="C213" s="32">
        <f>IF(DeBeek!AL5=0," ",SUM(E213:AD213))</f>
        <v>85.278000000000006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 t="str">
        <f>IF(DeBeek!V5=(""),(""),ROUND(DeBeek!V5/DeBeek!$T5*10,3))</f>
        <v/>
      </c>
      <c r="T213" s="36" t="str">
        <f>IF(DeBeek!W5=(""),(""),ROUND(DeBeek!W5/DeBeek!$T5*10,3))</f>
        <v/>
      </c>
      <c r="U213" s="36" t="str">
        <f>IF(DeBeek!X5=(""),(""),ROUND(DeBeek!X5/DeBeek!$T5*10,3))</f>
        <v/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3">
      <c r="A214" s="27">
        <f t="shared" si="147"/>
        <v>10</v>
      </c>
      <c r="B214" s="81" t="str">
        <f>DeBeek!A6</f>
        <v xml:space="preserve">Beyers Roger </v>
      </c>
      <c r="C214" s="32">
        <f>IF(DeBeek!AL6=0," ",SUM(E214:AD214))</f>
        <v>91.086999999999989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 t="str">
        <f>IF(DeBeek!V6=(""),(""),ROUND(DeBeek!V6/DeBeek!$T6*10,3))</f>
        <v/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3">
      <c r="A215" s="27">
        <f t="shared" si="147"/>
        <v>7</v>
      </c>
      <c r="B215" s="28" t="str">
        <f>DeBeek!A7</f>
        <v xml:space="preserve">Binnemans Rene </v>
      </c>
      <c r="C215" s="32">
        <f>IF(DeBeek!AL7=0," ",SUM(E215:AD215))</f>
        <v>76.06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 t="str">
        <f>IF(DeBeek!V7=(""),(""),ROUND(DeBeek!V7/DeBeek!$T7*10,3))</f>
        <v/>
      </c>
      <c r="T215" s="36" t="str">
        <f>IF(DeBeek!W7=(""),(""),ROUND(DeBeek!W7/DeBeek!$T7*10,3))</f>
        <v/>
      </c>
      <c r="U215" s="36" t="str">
        <f>IF(DeBeek!X7=(""),(""),ROUND(DeBeek!X7/DeBeek!$T7*10,3))</f>
        <v/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3">
      <c r="A216" s="27">
        <f t="shared" si="147"/>
        <v>9</v>
      </c>
      <c r="B216" s="81" t="str">
        <f>DeBeek!A8</f>
        <v>De Crom Ludo</v>
      </c>
      <c r="C216" s="32">
        <f>IF(DeBeek!AL8=0," ",SUM(E216:AD216))</f>
        <v>70.001000000000005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 t="str">
        <f>IF(DeBeek!V8=(""),(""),ROUND(DeBeek!V8/DeBeek!$T8*10,3))</f>
        <v/>
      </c>
      <c r="T216" s="36" t="str">
        <f>IF(DeBeek!W8=(""),(""),ROUND(DeBeek!W8/DeBeek!$T8*10,3))</f>
        <v/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3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3">
      <c r="A218" s="27">
        <f t="shared" si="147"/>
        <v>9</v>
      </c>
      <c r="B218" s="81" t="str">
        <f>DeBeek!A10</f>
        <v xml:space="preserve">Heyndrickx Alfons   </v>
      </c>
      <c r="C218" s="32">
        <f>IF(DeBeek!AL10=0," ",SUM(E218:AD218))</f>
        <v>105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 t="str">
        <f>IF(DeBeek!W10=(""),(""),ROUND(DeBeek!W10/DeBeek!$T10*10,3))</f>
        <v/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3">
      <c r="A219" s="27">
        <f t="shared" si="147"/>
        <v>8</v>
      </c>
      <c r="B219" s="28" t="str">
        <f>DeBeek!A11</f>
        <v xml:space="preserve">Van Looveren Dirk </v>
      </c>
      <c r="C219" s="32">
        <f>IF(DeBeek!AL11=0," ",SUM(E219:AD219))</f>
        <v>75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 t="str">
        <f>IF(DeBeek!V11=(""),(""),ROUND(DeBeek!V11/DeBeek!$T11*10,3))</f>
        <v/>
      </c>
      <c r="T219" s="36" t="str">
        <f>IF(DeBeek!W11=(""),(""),ROUND(DeBeek!W11/DeBeek!$T11*10,3))</f>
        <v/>
      </c>
      <c r="U219" s="36" t="str">
        <f>IF(DeBeek!X11=(""),(""),ROUND(DeBeek!X11/DeBeek!$T11*10,3))</f>
        <v/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3">
      <c r="A220" s="27">
        <f t="shared" si="147"/>
        <v>10</v>
      </c>
      <c r="B220" s="28" t="str">
        <f>DeBeek!A12</f>
        <v>Van Wesenbeeck Marcel</v>
      </c>
      <c r="C220" s="32">
        <f>IF(DeBeek!AL12=0," ",SUM(E220:AD220))</f>
        <v>93.927999999999997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 t="str">
        <f>IF(DeBeek!W12=(""),(""),ROUND(DeBeek!W12/DeBeek!$T12*10,3))</f>
        <v/>
      </c>
      <c r="U220" s="36" t="str">
        <f>IF(DeBeek!X12=(""),(""),ROUND(DeBeek!X12/DeBeek!$T12*10,3))</f>
        <v/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3">
      <c r="A221" s="27">
        <f t="shared" si="147"/>
        <v>8</v>
      </c>
      <c r="B221" s="28" t="str">
        <f>DeBeek!A13</f>
        <v xml:space="preserve">Verhulst Adri     </v>
      </c>
      <c r="C221" s="32">
        <f>IF(DeBeek!AL13=0," ",SUM(E221:AD221))</f>
        <v>72.354000000000013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 t="str">
        <f>IF(DeBeek!X13=(""),(""),ROUND(DeBeek!X13/DeBeek!$T13*10,3))</f>
        <v/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3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 x14ac:dyDescent="0.3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 t="str">
        <f t="shared" si="148"/>
        <v xml:space="preserve"> </v>
      </c>
      <c r="T223" s="36" t="str">
        <f t="shared" si="148"/>
        <v xml:space="preserve"> </v>
      </c>
      <c r="U223" s="36" t="str">
        <f t="shared" si="148"/>
        <v xml:space="preserve"> 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5">
      <c r="A224" s="37"/>
      <c r="B224" s="38"/>
      <c r="C224" s="41">
        <f>SUM(C212:C222)</f>
        <v>823.23699999999997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 t="str">
        <f t="shared" si="149"/>
        <v xml:space="preserve"> </v>
      </c>
      <c r="T224" s="40" t="str">
        <f t="shared" si="149"/>
        <v xml:space="preserve"> </v>
      </c>
      <c r="U224" s="40" t="str">
        <f t="shared" si="149"/>
        <v xml:space="preserve"> 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3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3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zoomScale="115" zoomScaleNormal="115" workbookViewId="0">
      <selection activeCell="J145" sqref="J145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93" t="s">
        <v>286</v>
      </c>
      <c r="B1" s="293"/>
      <c r="C1" s="293"/>
      <c r="D1" s="293"/>
      <c r="E1" s="213" t="s">
        <v>334</v>
      </c>
    </row>
    <row r="2" spans="1:5" ht="21" customHeight="1" x14ac:dyDescent="0.3">
      <c r="A2" s="294" t="s">
        <v>287</v>
      </c>
      <c r="B2" s="294"/>
      <c r="C2" s="294"/>
      <c r="D2" s="294"/>
      <c r="E2" s="220">
        <f>Rangschikking!E3</f>
        <v>46031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 x14ac:dyDescent="0.25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 x14ac:dyDescent="0.25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 x14ac:dyDescent="0.25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 x14ac:dyDescent="0.3">
      <c r="A35" s="231">
        <v>45936</v>
      </c>
      <c r="B35" s="232" t="s">
        <v>13</v>
      </c>
      <c r="C35" s="230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 x14ac:dyDescent="0.3">
      <c r="A40" s="235">
        <v>45946</v>
      </c>
      <c r="B40" s="230" t="s">
        <v>16</v>
      </c>
      <c r="C40" s="230" t="s">
        <v>7</v>
      </c>
      <c r="D40" s="266">
        <f>VLOOKUP(B40,Punten!$C$3:$AD$224,7,0)</f>
        <v>58.264000000000003</v>
      </c>
      <c r="E40" s="266">
        <f>VLOOKUP(C40,Punten!$C$3:$AD$224,7,0)</f>
        <v>53.423999999999999</v>
      </c>
    </row>
    <row r="41" spans="1:5" s="84" customFormat="1" ht="15" x14ac:dyDescent="0.25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 x14ac:dyDescent="0.3">
      <c r="A43" s="235">
        <v>45958</v>
      </c>
      <c r="B43" s="230" t="s">
        <v>9</v>
      </c>
      <c r="C43" s="230" t="s">
        <v>10</v>
      </c>
      <c r="D43" s="266">
        <f>VLOOKUP(B43,Punten!$C$3:$AD$224,7,0)</f>
        <v>61.108000000000004</v>
      </c>
      <c r="E43" s="266">
        <f>VLOOKUP(C43,Punten!$C$3:$AD$224,7,0)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 x14ac:dyDescent="0.25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 x14ac:dyDescent="0.25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 x14ac:dyDescent="0.3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 x14ac:dyDescent="0.3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 x14ac:dyDescent="0.3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6">
        <f>VLOOKUP(B74,Punten!$C$3:$AD$224,11,0)</f>
        <v>67.024999999999991</v>
      </c>
      <c r="E74" s="266">
        <f>VLOOKUP(C74,Punten!$C$3:$AD$224,11,0)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 x14ac:dyDescent="0.3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 x14ac:dyDescent="0.3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 x14ac:dyDescent="0.3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 x14ac:dyDescent="0.3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 x14ac:dyDescent="0.3">
      <c r="A109" s="292"/>
      <c r="B109" s="286"/>
      <c r="C109" s="169"/>
      <c r="E109" s="62"/>
      <c r="F109" s="62"/>
      <c r="G109" s="62"/>
    </row>
    <row r="110" spans="1:7" ht="22.2" customHeight="1" x14ac:dyDescent="0.3">
      <c r="A110" s="296" t="s">
        <v>286</v>
      </c>
      <c r="B110" s="296"/>
      <c r="C110" s="296"/>
      <c r="D110" s="296"/>
      <c r="E110" s="108"/>
    </row>
    <row r="111" spans="1:7" ht="15" customHeight="1" x14ac:dyDescent="0.3">
      <c r="A111" s="295" t="s">
        <v>287</v>
      </c>
      <c r="B111" s="295"/>
      <c r="C111" s="295"/>
      <c r="D111" s="295"/>
      <c r="E111" s="109" t="s">
        <v>288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10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5" customHeight="1" x14ac:dyDescent="0.3">
      <c r="A114" s="96"/>
      <c r="B114" s="110"/>
      <c r="C114" s="110"/>
      <c r="D114" s="108"/>
      <c r="E114" s="108"/>
    </row>
    <row r="115" spans="1:10" ht="15" customHeight="1" x14ac:dyDescent="0.3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 x14ac:dyDescent="0.3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 x14ac:dyDescent="0.3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 x14ac:dyDescent="0.3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59.261999999999993</v>
      </c>
    </row>
    <row r="119" spans="1:10" ht="15" customHeight="1" x14ac:dyDescent="0.3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 x14ac:dyDescent="0.3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 x14ac:dyDescent="0.3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5" customHeight="1" x14ac:dyDescent="0.3">
      <c r="A122" s="97"/>
      <c r="B122" s="98"/>
      <c r="C122" s="98"/>
      <c r="D122" s="104"/>
      <c r="E122" s="104"/>
    </row>
    <row r="123" spans="1:10" ht="15" customHeight="1" x14ac:dyDescent="0.3">
      <c r="A123" s="97">
        <v>46034</v>
      </c>
      <c r="B123" s="98" t="s">
        <v>290</v>
      </c>
      <c r="C123" s="98" t="s">
        <v>7</v>
      </c>
      <c r="D123" s="104" t="str">
        <f>VLOOKUP(B123,Punten!$C$3:$AD$224,17,0)</f>
        <v xml:space="preserve"> </v>
      </c>
      <c r="E123" s="104" t="str">
        <f>VLOOKUP(C123,Punten!$C$3:$AD$224,17,0)</f>
        <v xml:space="preserve"> </v>
      </c>
      <c r="J123" t="s">
        <v>127</v>
      </c>
    </row>
    <row r="124" spans="1:10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VLOOKUP(B124,Punten!$C$3:$AD$224,17,0)</f>
        <v xml:space="preserve"> </v>
      </c>
      <c r="E124" s="104" t="str">
        <f>VLOOKUP(C124,Punten!$C$3:$AD$224,17,0)</f>
        <v xml:space="preserve"> </v>
      </c>
    </row>
    <row r="125" spans="1:10" ht="15" customHeight="1" x14ac:dyDescent="0.3">
      <c r="A125" s="97">
        <v>46034</v>
      </c>
      <c r="B125" s="98" t="s">
        <v>15</v>
      </c>
      <c r="C125" s="98" t="s">
        <v>291</v>
      </c>
      <c r="D125" s="104" t="str">
        <f>VLOOKUP(B125,Punten!$C$3:$AD$224,17,0)</f>
        <v xml:space="preserve"> </v>
      </c>
      <c r="E125" s="104" t="str">
        <f>VLOOKUP(C125,Punten!$C$3:$AD$224,17,0)</f>
        <v xml:space="preserve"> </v>
      </c>
    </row>
    <row r="126" spans="1:10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VLOOKUP(B126,Punten!$C$3:$AD$224,17,0)</f>
        <v xml:space="preserve"> </v>
      </c>
      <c r="E126" s="104" t="str">
        <f>VLOOKUP(C126,Punten!$C$3:$AD$224,17,0)</f>
        <v xml:space="preserve"> </v>
      </c>
    </row>
    <row r="127" spans="1:10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VLOOKUP(B127,Punten!$C$3:$AD$224,17,0)</f>
        <v xml:space="preserve"> </v>
      </c>
      <c r="E127" s="104" t="str">
        <f>VLOOKUP(C127,Punten!$C$3:$AD$224,17,0)</f>
        <v xml:space="preserve"> </v>
      </c>
    </row>
    <row r="128" spans="1:10" ht="15" customHeight="1" x14ac:dyDescent="0.3">
      <c r="A128" s="170">
        <v>46037</v>
      </c>
      <c r="B128" s="171" t="s">
        <v>10</v>
      </c>
      <c r="C128" s="171" t="s">
        <v>14</v>
      </c>
      <c r="D128" s="104" t="str">
        <f>VLOOKUP(B128,Punten!$C$3:$AD$224,17,0)</f>
        <v xml:space="preserve"> </v>
      </c>
      <c r="E128" s="104" t="str">
        <f>VLOOKUP(C128,Punten!$C$3:$AD$224,17,0)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VLOOKUP(B129,Punten!$C$3:$AD$224,17,0)</f>
        <v xml:space="preserve"> </v>
      </c>
      <c r="E129" s="104" t="str">
        <f>VLOOKUP(C129,Punten!$C$3:$AD$224,17,0)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VLOOKUP(B131,Punten!$C$3:$AD$224,18,0)</f>
        <v xml:space="preserve"> </v>
      </c>
      <c r="E131" s="104" t="str">
        <f>VLOOKUP(C131,Punten!$C$3:$AD$224,18,0)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VLOOKUP(B132,Punten!$C$3:$AD$224,18,0)</f>
        <v xml:space="preserve"> </v>
      </c>
      <c r="E132" s="104" t="str">
        <f>VLOOKUP(C132,Punten!$C$3:$AD$224,18,0)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290</v>
      </c>
      <c r="D133" s="104" t="str">
        <f>VLOOKUP(B133,Punten!$C$3:$AD$224,18,0)</f>
        <v xml:space="preserve"> </v>
      </c>
      <c r="E133" s="104" t="str">
        <f>VLOOKUP(C133,Punten!$C$3:$AD$224,18,0)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291</v>
      </c>
      <c r="D134" s="104" t="str">
        <f>VLOOKUP(B134,Punten!$C$3:$AD$224,18,0)</f>
        <v xml:space="preserve"> </v>
      </c>
      <c r="E134" s="104" t="str">
        <f>VLOOKUP(C134,Punten!$C$3:$AD$224,18,0)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VLOOKUP(B135,Punten!$C$3:$AD$224,18,0)</f>
        <v xml:space="preserve"> </v>
      </c>
      <c r="E135" s="104" t="str">
        <f>VLOOKUP(C135,Punten!$C$3:$AD$224,18,0)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VLOOKUP(B136,Punten!$C$3:$AD$224,18,0)</f>
        <v xml:space="preserve"> </v>
      </c>
      <c r="E136" s="104" t="str">
        <f>VLOOKUP(C136,Punten!$C$3:$AD$224,18,0)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VLOOKUP(B137,Punten!$C$3:$AD$224,18,0)</f>
        <v xml:space="preserve"> </v>
      </c>
      <c r="E137" s="104" t="str">
        <f>VLOOKUP(C137,Punten!$C$3:$AD$224,18,0)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15</v>
      </c>
      <c r="C139" s="98" t="s">
        <v>9</v>
      </c>
      <c r="D139" s="104" t="str">
        <f>VLOOKUP(B139,Punten!$C$3:$AD$224,19,0)</f>
        <v xml:space="preserve"> </v>
      </c>
      <c r="E139" s="104" t="str">
        <f>VLOOKUP(C139,Punten!$C$3:$AD$224,19,0)</f>
        <v xml:space="preserve"> </v>
      </c>
    </row>
    <row r="140" spans="1:5" ht="15" customHeight="1" x14ac:dyDescent="0.3">
      <c r="A140" s="170">
        <v>46048</v>
      </c>
      <c r="B140" s="171" t="s">
        <v>12</v>
      </c>
      <c r="C140" s="171" t="s">
        <v>290</v>
      </c>
      <c r="D140" s="104" t="str">
        <f>VLOOKUP(B140,Punten!$C$3:$AD$224,19,0)</f>
        <v xml:space="preserve"> </v>
      </c>
      <c r="E140" s="104" t="str">
        <f>VLOOKUP(C140,Punten!$C$3:$AD$224,19,0)</f>
        <v xml:space="preserve"> </v>
      </c>
    </row>
    <row r="141" spans="1:5" ht="15" customHeight="1" x14ac:dyDescent="0.3">
      <c r="A141" s="97">
        <v>46049</v>
      </c>
      <c r="B141" s="105" t="s">
        <v>291</v>
      </c>
      <c r="C141" s="98" t="s">
        <v>8</v>
      </c>
      <c r="D141" s="104" t="str">
        <f>VLOOKUP(B141,Punten!$C$3:$AD$224,19,0)</f>
        <v xml:space="preserve"> </v>
      </c>
      <c r="E141" s="104" t="str">
        <f>VLOOKUP(C141,Punten!$C$3:$AD$224,19,0)</f>
        <v xml:space="preserve"> </v>
      </c>
    </row>
    <row r="142" spans="1:5" ht="15" customHeight="1" x14ac:dyDescent="0.3">
      <c r="A142" s="97">
        <v>46050</v>
      </c>
      <c r="B142" s="98" t="s">
        <v>6</v>
      </c>
      <c r="C142" s="98" t="s">
        <v>7</v>
      </c>
      <c r="D142" s="104" t="str">
        <f>VLOOKUP(B142,Punten!$C$3:$AD$224,19,0)</f>
        <v xml:space="preserve"> </v>
      </c>
      <c r="E142" s="104" t="str">
        <f>VLOOKUP(C142,Punten!$C$3:$AD$224,19,0)</f>
        <v xml:space="preserve"> </v>
      </c>
    </row>
    <row r="143" spans="1:5" ht="15" customHeight="1" x14ac:dyDescent="0.3">
      <c r="A143" s="97">
        <v>46050</v>
      </c>
      <c r="B143" s="98" t="s">
        <v>5</v>
      </c>
      <c r="C143" s="98" t="s">
        <v>14</v>
      </c>
      <c r="D143" s="104" t="str">
        <f>VLOOKUP(B143,Punten!$C$3:$AD$224,19,0)</f>
        <v xml:space="preserve"> </v>
      </c>
      <c r="E143" s="104" t="str">
        <f>VLOOKUP(C143,Punten!$C$3:$AD$224,19,0)</f>
        <v xml:space="preserve"> </v>
      </c>
    </row>
    <row r="144" spans="1:5" ht="15" customHeight="1" x14ac:dyDescent="0.3">
      <c r="A144" s="118">
        <v>46051</v>
      </c>
      <c r="B144" s="121" t="s">
        <v>11</v>
      </c>
      <c r="C144" s="121" t="s">
        <v>16</v>
      </c>
      <c r="D144" s="104" t="str">
        <f>VLOOKUP(B144,Punten!$C$3:$AD$224,19,0)</f>
        <v xml:space="preserve"> </v>
      </c>
      <c r="E144" s="104" t="str">
        <f>VLOOKUP(C144,Punten!$C$3:$AD$224,19,0)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VLOOKUP(B145,Punten!$C$3:$AD$224,19,0)</f>
        <v xml:space="preserve"> </v>
      </c>
      <c r="E145" s="104" t="str">
        <f>VLOOKUP(C145,Punten!$C$3:$AD$224,19,0)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 x14ac:dyDescent="0.3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 x14ac:dyDescent="0.3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 x14ac:dyDescent="0.3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 x14ac:dyDescent="0.3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 x14ac:dyDescent="0.3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 x14ac:dyDescent="0.3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 x14ac:dyDescent="0.3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 x14ac:dyDescent="0.3">
      <c r="A218" s="292" t="s">
        <v>319</v>
      </c>
      <c r="B218" s="286"/>
      <c r="C218" s="169" t="s">
        <v>346</v>
      </c>
      <c r="E218" s="62"/>
      <c r="F218" s="62"/>
      <c r="G218" s="62"/>
    </row>
    <row r="219" spans="1:7" x14ac:dyDescent="0.3">
      <c r="A219" s="290" t="s">
        <v>350</v>
      </c>
      <c r="B219" s="291"/>
      <c r="C219" s="291"/>
      <c r="D219" s="291"/>
      <c r="E219" s="291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U8" sqref="U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22</v>
      </c>
      <c r="B2" s="307" t="s">
        <v>42</v>
      </c>
      <c r="C2" s="309" t="s">
        <v>43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48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>
        <v>17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151</v>
      </c>
      <c r="AM4" s="123">
        <f t="shared" ref="AM4" si="1">Q4+AI4</f>
        <v>7</v>
      </c>
      <c r="AN4" s="8">
        <f>IF(AL4=0," ",AL4/AM4)</f>
        <v>21.571428571428573</v>
      </c>
      <c r="AO4" s="94">
        <f>IF(AL4=0," ",AL4/(AM4*T4)*100)</f>
        <v>113.53383458646617</v>
      </c>
    </row>
    <row r="5" spans="1:41" s="10" customFormat="1" ht="20.100000000000001" customHeight="1" x14ac:dyDescent="0.3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>
        <v>33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33</v>
      </c>
      <c r="AI7" s="11">
        <f t="shared" si="7"/>
        <v>1</v>
      </c>
      <c r="AJ7" s="12">
        <f t="shared" si="8"/>
        <v>33</v>
      </c>
      <c r="AK7" s="77"/>
      <c r="AL7" s="124">
        <f t="shared" si="9"/>
        <v>260</v>
      </c>
      <c r="AM7" s="95">
        <f t="shared" si="10"/>
        <v>10</v>
      </c>
      <c r="AN7" s="11">
        <f t="shared" si="11"/>
        <v>26</v>
      </c>
      <c r="AO7" s="12">
        <f t="shared" si="12"/>
        <v>100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309</v>
      </c>
      <c r="AM8" s="95">
        <f t="shared" si="10"/>
        <v>8</v>
      </c>
      <c r="AN8" s="11">
        <f t="shared" si="11"/>
        <v>38.625</v>
      </c>
      <c r="AO8" s="12">
        <f t="shared" si="12"/>
        <v>80.46875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25</v>
      </c>
      <c r="AI9" s="11">
        <f t="shared" si="7"/>
        <v>1</v>
      </c>
      <c r="AJ9" s="12">
        <f t="shared" si="8"/>
        <v>25</v>
      </c>
      <c r="AK9" s="77"/>
      <c r="AL9" s="124">
        <f t="shared" si="9"/>
        <v>145</v>
      </c>
      <c r="AM9" s="95">
        <f t="shared" si="10"/>
        <v>7</v>
      </c>
      <c r="AN9" s="11">
        <f t="shared" si="11"/>
        <v>20.714285714285715</v>
      </c>
      <c r="AO9" s="12">
        <f t="shared" si="12"/>
        <v>82.857142857142861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118</v>
      </c>
      <c r="AM10" s="95">
        <f t="shared" si="10"/>
        <v>8</v>
      </c>
      <c r="AN10" s="11">
        <f t="shared" si="11"/>
        <v>14.75</v>
      </c>
      <c r="AO10" s="12">
        <f t="shared" si="12"/>
        <v>98.333333333333329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200</v>
      </c>
      <c r="AM11" s="95">
        <f t="shared" si="10"/>
        <v>8</v>
      </c>
      <c r="AN11" s="11">
        <f t="shared" si="11"/>
        <v>25</v>
      </c>
      <c r="AO11" s="12">
        <f t="shared" si="12"/>
        <v>89.285714285714292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>
        <v>29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29</v>
      </c>
      <c r="AI12" s="11">
        <f t="shared" si="7"/>
        <v>1</v>
      </c>
      <c r="AJ12" s="12">
        <f t="shared" si="8"/>
        <v>29</v>
      </c>
      <c r="AK12" s="77"/>
      <c r="AL12" s="124">
        <f t="shared" si="9"/>
        <v>274</v>
      </c>
      <c r="AM12" s="95">
        <f t="shared" si="10"/>
        <v>11</v>
      </c>
      <c r="AN12" s="11">
        <f t="shared" si="11"/>
        <v>24.90909090909091</v>
      </c>
      <c r="AO12" s="12">
        <f t="shared" si="12"/>
        <v>99.63636363636364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>
        <v>31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31</v>
      </c>
      <c r="AI13" s="11">
        <f t="shared" si="7"/>
        <v>1</v>
      </c>
      <c r="AJ13" s="12">
        <f t="shared" si="8"/>
        <v>31</v>
      </c>
      <c r="AK13" s="77"/>
      <c r="AL13" s="124">
        <f t="shared" si="9"/>
        <v>248</v>
      </c>
      <c r="AM13" s="95">
        <f t="shared" si="10"/>
        <v>9</v>
      </c>
      <c r="AN13" s="11">
        <f t="shared" si="11"/>
        <v>27.555555555555557</v>
      </c>
      <c r="AO13" s="12">
        <f t="shared" si="12"/>
        <v>95.019157088122611</v>
      </c>
    </row>
    <row r="14" spans="1:41" s="10" customFormat="1" ht="20.100000000000001" customHeight="1" x14ac:dyDescent="0.3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>
        <v>16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16</v>
      </c>
      <c r="AI15" s="11">
        <f t="shared" si="7"/>
        <v>1</v>
      </c>
      <c r="AJ15" s="12">
        <f t="shared" si="8"/>
        <v>16</v>
      </c>
      <c r="AK15" s="77"/>
      <c r="AL15" s="124">
        <f t="shared" si="9"/>
        <v>245</v>
      </c>
      <c r="AM15" s="95">
        <f t="shared" si="10"/>
        <v>9</v>
      </c>
      <c r="AN15" s="11">
        <f t="shared" si="11"/>
        <v>27.222222222222221</v>
      </c>
      <c r="AO15" s="12">
        <f t="shared" si="12"/>
        <v>90.740740740740748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 t="shared" si="15"/>
        <v>151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151</v>
      </c>
      <c r="AI19" s="18">
        <f t="shared" si="15"/>
        <v>6</v>
      </c>
      <c r="AJ19" s="23">
        <f>AH19/AI19</f>
        <v>25.166666666666668</v>
      </c>
      <c r="AK19" s="78"/>
      <c r="AL19" s="24">
        <f>SUM(AL4:AL18)</f>
        <v>2183</v>
      </c>
      <c r="AM19" s="18">
        <f>SUM(AM4:AM18)</f>
        <v>84</v>
      </c>
      <c r="AN19" s="18">
        <f t="shared" ref="AN19" si="16">AL19/AM19</f>
        <v>25.988095238095237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82" priority="12" operator="equal">
      <formula>0</formula>
    </cfRule>
  </conditionalFormatting>
  <conditionalFormatting sqref="A19 C19:S19 U19:AO19">
    <cfRule type="containsErrors" dxfId="81" priority="14">
      <formula>ISERROR(A19)</formula>
    </cfRule>
  </conditionalFormatting>
  <conditionalFormatting sqref="B4:B19">
    <cfRule type="cellIs" dxfId="80" priority="11" operator="equal">
      <formula>0</formula>
    </cfRule>
  </conditionalFormatting>
  <conditionalFormatting sqref="P4:S18 C19:S19">
    <cfRule type="cellIs" dxfId="79" priority="7" operator="equal">
      <formula>0</formula>
    </cfRule>
  </conditionalFormatting>
  <conditionalFormatting sqref="T4:T19">
    <cfRule type="cellIs" dxfId="78" priority="1" operator="equal">
      <formula>0</formula>
    </cfRule>
  </conditionalFormatting>
  <conditionalFormatting sqref="AH4:AO18 U19:AO19">
    <cfRule type="cellIs" dxfId="77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topLeftCell="B1" zoomScale="110" zoomScaleNormal="110" workbookViewId="0">
      <selection activeCell="U11" sqref="U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27" t="s">
        <v>60</v>
      </c>
      <c r="B2" s="329" t="s">
        <v>42</v>
      </c>
      <c r="C2" s="309" t="s">
        <v>61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62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28"/>
      <c r="B3" s="330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3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4"/>
      <c r="AI3" s="325"/>
      <c r="AJ3" s="326"/>
      <c r="AK3" s="76"/>
      <c r="AL3" s="324"/>
      <c r="AM3" s="325"/>
      <c r="AN3" s="325"/>
      <c r="AO3" s="326"/>
    </row>
    <row r="4" spans="1:41" s="10" customFormat="1" ht="20.100000000000001" customHeight="1" x14ac:dyDescent="0.3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>
        <v>32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32</v>
      </c>
      <c r="AI4" s="8">
        <f>COUNTIF(U4:AG4,"&gt;0")</f>
        <v>1</v>
      </c>
      <c r="AJ4" s="94">
        <f>IF(AH4=0," ",AH4/AI4)</f>
        <v>32</v>
      </c>
      <c r="AK4" s="77"/>
      <c r="AL4" s="122">
        <f t="shared" ref="AL4" si="0">P4+AH4</f>
        <v>227</v>
      </c>
      <c r="AM4" s="123">
        <f t="shared" ref="AM4" si="1">Q4+AI4</f>
        <v>7</v>
      </c>
      <c r="AN4" s="8">
        <f>IF(AL4=0," ",AL4/AM4)</f>
        <v>32.428571428571431</v>
      </c>
      <c r="AO4" s="94">
        <f>IF(AL4=0," ",AL4/(AM4*T4)*100)</f>
        <v>104.60829493087557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>
        <v>71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71</v>
      </c>
      <c r="AI5" s="11">
        <f t="shared" ref="AI5:AI18" si="7">COUNTIF(U5:AG5,"&gt;0")</f>
        <v>1</v>
      </c>
      <c r="AJ5" s="12">
        <f t="shared" ref="AJ5:AJ18" si="8">IF(AH5=0," ",AH5/AI5)</f>
        <v>71</v>
      </c>
      <c r="AK5" s="77"/>
      <c r="AL5" s="124">
        <f t="shared" ref="AL5:AL18" si="9">P5+AH5</f>
        <v>290</v>
      </c>
      <c r="AM5" s="95">
        <f t="shared" ref="AM5:AM18" si="10">Q5+AI5</f>
        <v>5</v>
      </c>
      <c r="AN5" s="11">
        <f t="shared" ref="AN5:AN18" si="11">IF(AL5=0," ",AL5/AM5)</f>
        <v>58</v>
      </c>
      <c r="AO5" s="12">
        <f t="shared" ref="AO5:AO18" si="12">IF(AL5=0," ",AL5/(AM5*T5)*100)</f>
        <v>111.53846153846155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109</v>
      </c>
      <c r="AM6" s="95">
        <f t="shared" si="10"/>
        <v>3</v>
      </c>
      <c r="AN6" s="11">
        <f t="shared" si="11"/>
        <v>36.333333333333336</v>
      </c>
      <c r="AO6" s="12">
        <f t="shared" si="12"/>
        <v>86.507936507936506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75</v>
      </c>
      <c r="AM8" s="95">
        <f t="shared" si="10"/>
        <v>3</v>
      </c>
      <c r="AN8" s="11">
        <f t="shared" si="11"/>
        <v>25</v>
      </c>
      <c r="AO8" s="12">
        <f t="shared" si="12"/>
        <v>100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356</v>
      </c>
      <c r="AM9" s="95">
        <f t="shared" si="10"/>
        <v>7</v>
      </c>
      <c r="AN9" s="11">
        <f t="shared" si="11"/>
        <v>50.857142857142854</v>
      </c>
      <c r="AO9" s="12">
        <f t="shared" si="12"/>
        <v>95.956873315363879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>
        <v>72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72</v>
      </c>
      <c r="AI10" s="11">
        <f t="shared" si="7"/>
        <v>1</v>
      </c>
      <c r="AJ10" s="12">
        <f t="shared" si="8"/>
        <v>72</v>
      </c>
      <c r="AK10" s="77"/>
      <c r="AL10" s="124">
        <f t="shared" si="9"/>
        <v>336</v>
      </c>
      <c r="AM10" s="95">
        <f t="shared" si="10"/>
        <v>7</v>
      </c>
      <c r="AN10" s="11">
        <f t="shared" si="11"/>
        <v>48</v>
      </c>
      <c r="AO10" s="12">
        <f t="shared" si="12"/>
        <v>94.117647058823522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94</v>
      </c>
      <c r="AM11" s="95">
        <f t="shared" si="10"/>
        <v>4</v>
      </c>
      <c r="AN11" s="11">
        <f t="shared" si="11"/>
        <v>23.5</v>
      </c>
      <c r="AO11" s="12">
        <f t="shared" si="12"/>
        <v>83.928571428571431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732</v>
      </c>
      <c r="AM12" s="95">
        <f t="shared" si="10"/>
        <v>10</v>
      </c>
      <c r="AN12" s="11">
        <f t="shared" si="11"/>
        <v>73.2</v>
      </c>
      <c r="AO12" s="12">
        <f t="shared" si="12"/>
        <v>81.333333333333329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188</v>
      </c>
      <c r="AM13" s="95">
        <f t="shared" si="10"/>
        <v>7</v>
      </c>
      <c r="AN13" s="11">
        <f t="shared" si="11"/>
        <v>26.857142857142858</v>
      </c>
      <c r="AO13" s="12">
        <f t="shared" si="12"/>
        <v>103.29670329670331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190</v>
      </c>
      <c r="AM15" s="95">
        <f t="shared" si="10"/>
        <v>6</v>
      </c>
      <c r="AN15" s="11">
        <f t="shared" si="11"/>
        <v>31.666666666666668</v>
      </c>
      <c r="AO15" s="12">
        <f t="shared" si="12"/>
        <v>95.959595959595958</v>
      </c>
    </row>
    <row r="16" spans="1:41" s="10" customFormat="1" ht="20.100000000000001" customHeight="1" x14ac:dyDescent="0.3">
      <c r="A16" s="275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276">
        <v>16</v>
      </c>
      <c r="U16" s="163">
        <v>19</v>
      </c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19</v>
      </c>
      <c r="AI16" s="11">
        <f t="shared" si="7"/>
        <v>1</v>
      </c>
      <c r="AJ16" s="12">
        <f t="shared" si="8"/>
        <v>19</v>
      </c>
      <c r="AK16" s="77"/>
      <c r="AL16" s="124">
        <f t="shared" si="9"/>
        <v>81</v>
      </c>
      <c r="AM16" s="95">
        <f t="shared" si="10"/>
        <v>5</v>
      </c>
      <c r="AN16" s="11">
        <f t="shared" si="11"/>
        <v>16.2</v>
      </c>
      <c r="AO16" s="12">
        <f t="shared" si="12"/>
        <v>101.25</v>
      </c>
    </row>
    <row r="17" spans="1:41" s="10" customFormat="1" ht="20.100000000000001" customHeight="1" x14ac:dyDescent="0.3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276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11">
        <f t="shared" si="11"/>
        <v>49.857142857142854</v>
      </c>
      <c r="AO17" s="12">
        <f t="shared" si="12"/>
        <v>97.759103641456576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4">
        <f t="shared" si="11"/>
        <v>27.5</v>
      </c>
      <c r="AO18" s="15">
        <f t="shared" si="12"/>
        <v>88.709677419354833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238</v>
      </c>
      <c r="AI19" s="18">
        <f t="shared" si="15"/>
        <v>6</v>
      </c>
      <c r="AJ19" s="23">
        <f t="shared" si="15"/>
        <v>251</v>
      </c>
      <c r="AK19" s="78"/>
      <c r="AL19" s="24">
        <f>SUM(AL4:AL18)</f>
        <v>3502</v>
      </c>
      <c r="AM19" s="18">
        <f>SUM(AM4:AM18)</f>
        <v>84</v>
      </c>
      <c r="AN19" s="18">
        <f t="shared" ref="AN19" si="17">AL19/AM19</f>
        <v>41.69047619047619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7"/>
  <sheetViews>
    <sheetView showGridLines="0" showRowColHeaders="0" topLeftCell="A4" zoomScaleNormal="100" workbookViewId="0">
      <selection activeCell="Q27" sqref="Q2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27" t="s">
        <v>75</v>
      </c>
      <c r="B2" s="307" t="s">
        <v>42</v>
      </c>
      <c r="C2" s="309" t="s">
        <v>76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77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28"/>
      <c r="B3" s="30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>
        <v>37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37</v>
      </c>
      <c r="AI4" s="8">
        <f>COUNTIF(U4:AG4,"&gt;0")</f>
        <v>1</v>
      </c>
      <c r="AJ4" s="94">
        <f>IF(AH4=0," ",AH4/AI4)</f>
        <v>37</v>
      </c>
      <c r="AK4" s="77"/>
      <c r="AL4" s="122">
        <f t="shared" ref="AL4" si="0">P4+AH4</f>
        <v>329</v>
      </c>
      <c r="AM4" s="123">
        <f t="shared" ref="AM4" si="1">Q4+AI4</f>
        <v>10</v>
      </c>
      <c r="AN4" s="8">
        <f>IF(AL4=0," ",AL4/AM4)</f>
        <v>32.9</v>
      </c>
      <c r="AO4" s="94">
        <f>IF(AL4=0," ",AL4/(AM4*T4)*100)</f>
        <v>102.8125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>
        <v>28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28</v>
      </c>
      <c r="AI5" s="11">
        <f t="shared" ref="AI5:AI18" si="7">COUNTIF(U5:AG5,"&gt;0")</f>
        <v>1</v>
      </c>
      <c r="AJ5" s="12">
        <f t="shared" ref="AJ5:AJ18" si="8">IF(AH5=0," ",AH5/AI5)</f>
        <v>28</v>
      </c>
      <c r="AK5" s="77"/>
      <c r="AL5" s="124">
        <f t="shared" ref="AL5:AL18" si="9">P5+AH5</f>
        <v>145</v>
      </c>
      <c r="AM5" s="95">
        <f t="shared" ref="AM5:AM18" si="10">Q5+AI5</f>
        <v>10</v>
      </c>
      <c r="AN5" s="11">
        <f t="shared" ref="AN5:AN18" si="11">IF(AL5=0," ",AL5/AM5)</f>
        <v>14.5</v>
      </c>
      <c r="AO5" s="12">
        <f t="shared" ref="AO5:AO18" si="12">IF(AL5=0," ",AL5/(AM5*T5)*100)</f>
        <v>80.555555555555557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>
        <v>23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23</v>
      </c>
      <c r="AI6" s="11">
        <f t="shared" si="7"/>
        <v>1</v>
      </c>
      <c r="AJ6" s="12">
        <f t="shared" si="8"/>
        <v>23</v>
      </c>
      <c r="AK6" s="77"/>
      <c r="AL6" s="124">
        <f t="shared" si="9"/>
        <v>197</v>
      </c>
      <c r="AM6" s="95">
        <f t="shared" si="10"/>
        <v>8</v>
      </c>
      <c r="AN6" s="11">
        <f t="shared" si="11"/>
        <v>24.625</v>
      </c>
      <c r="AO6" s="12">
        <f t="shared" si="12"/>
        <v>87.946428571428569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95</v>
      </c>
      <c r="AM7" s="95">
        <f t="shared" si="10"/>
        <v>9</v>
      </c>
      <c r="AN7" s="11">
        <f t="shared" si="11"/>
        <v>10.555555555555555</v>
      </c>
      <c r="AO7" s="12">
        <f t="shared" si="12"/>
        <v>70.370370370370367</v>
      </c>
    </row>
    <row r="8" spans="1:41" s="10" customFormat="1" ht="20.100000000000001" customHeight="1" x14ac:dyDescent="0.3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>
        <v>122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122</v>
      </c>
      <c r="AI9" s="11">
        <f t="shared" si="7"/>
        <v>1</v>
      </c>
      <c r="AJ9" s="12">
        <f t="shared" si="8"/>
        <v>122</v>
      </c>
      <c r="AK9" s="77"/>
      <c r="AL9" s="124">
        <f t="shared" si="9"/>
        <v>515</v>
      </c>
      <c r="AM9" s="95">
        <f t="shared" si="10"/>
        <v>5</v>
      </c>
      <c r="AN9" s="11">
        <f t="shared" si="11"/>
        <v>103</v>
      </c>
      <c r="AO9" s="12">
        <f t="shared" si="12"/>
        <v>82.399999999999991</v>
      </c>
    </row>
    <row r="10" spans="1:41" s="10" customFormat="1" ht="20.100000000000001" customHeight="1" x14ac:dyDescent="0.3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>
        <v>22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22</v>
      </c>
      <c r="AI10" s="11">
        <f t="shared" si="7"/>
        <v>1</v>
      </c>
      <c r="AJ10" s="12">
        <f t="shared" si="8"/>
        <v>22</v>
      </c>
      <c r="AK10" s="77"/>
      <c r="AL10" s="124">
        <f t="shared" si="9"/>
        <v>127</v>
      </c>
      <c r="AM10" s="95">
        <f t="shared" si="10"/>
        <v>8</v>
      </c>
      <c r="AN10" s="11">
        <f t="shared" si="11"/>
        <v>15.875</v>
      </c>
      <c r="AO10" s="12">
        <f t="shared" si="12"/>
        <v>105.83333333333333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153</v>
      </c>
      <c r="AM11" s="95">
        <f t="shared" si="10"/>
        <v>5</v>
      </c>
      <c r="AN11" s="11">
        <f t="shared" si="11"/>
        <v>30.6</v>
      </c>
      <c r="AO11" s="12">
        <f t="shared" si="12"/>
        <v>85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>
        <v>13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13</v>
      </c>
      <c r="AI12" s="11">
        <f t="shared" si="7"/>
        <v>1</v>
      </c>
      <c r="AJ12" s="12">
        <f t="shared" si="8"/>
        <v>13</v>
      </c>
      <c r="AK12" s="77"/>
      <c r="AL12" s="124">
        <f t="shared" si="9"/>
        <v>88</v>
      </c>
      <c r="AM12" s="95">
        <f t="shared" si="10"/>
        <v>8</v>
      </c>
      <c r="AN12" s="11">
        <f t="shared" si="11"/>
        <v>11</v>
      </c>
      <c r="AO12" s="12">
        <f t="shared" si="12"/>
        <v>68.75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3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130</v>
      </c>
      <c r="AM14" s="95">
        <f t="shared" si="10"/>
        <v>10</v>
      </c>
      <c r="AN14" s="11">
        <f t="shared" si="11"/>
        <v>13</v>
      </c>
      <c r="AO14" s="12">
        <f t="shared" si="12"/>
        <v>86.666666666666671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245</v>
      </c>
      <c r="AI19" s="18">
        <f>SUM(AI4:AI18)</f>
        <v>6</v>
      </c>
      <c r="AJ19" s="23">
        <f>AH19/AI19</f>
        <v>40.833333333333336</v>
      </c>
      <c r="AK19" s="78"/>
      <c r="AL19" s="24">
        <f>SUM(AL4:AL18)</f>
        <v>2005</v>
      </c>
      <c r="AM19" s="18">
        <f>SUM(AM4:AM18)</f>
        <v>84</v>
      </c>
      <c r="AN19" s="18">
        <f t="shared" ref="AN19" si="16">AL19/AM19</f>
        <v>23.86904761904762</v>
      </c>
      <c r="AO19" s="20"/>
    </row>
    <row r="24" spans="1:41" x14ac:dyDescent="0.3">
      <c r="A24"/>
    </row>
    <row r="27" spans="1:41" x14ac:dyDescent="0.3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topLeftCell="A2" zoomScale="145" zoomScaleNormal="145" workbookViewId="0">
      <selection activeCell="U12" sqref="U12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27" t="s">
        <v>86</v>
      </c>
      <c r="B2" s="307" t="s">
        <v>42</v>
      </c>
      <c r="C2" s="309" t="s">
        <v>87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88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28"/>
      <c r="B3" s="308"/>
      <c r="C3" s="6">
        <v>1</v>
      </c>
      <c r="D3" s="2">
        <v>2</v>
      </c>
      <c r="E3" s="2">
        <v>3</v>
      </c>
      <c r="F3" s="271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>
        <v>54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54</v>
      </c>
      <c r="AI5" s="11">
        <f t="shared" ref="AI5:AI18" si="8">COUNTIF(U5:AG5,"&gt;0")</f>
        <v>1</v>
      </c>
      <c r="AJ5" s="12">
        <f t="shared" ref="AJ5:AJ18" si="9">IF(AH5=0," ",AH5/AI5)</f>
        <v>54</v>
      </c>
      <c r="AK5" s="77"/>
      <c r="AL5" s="124">
        <f t="shared" ref="AL5:AL18" si="10">P5+AH5</f>
        <v>509</v>
      </c>
      <c r="AM5" s="95">
        <f t="shared" ref="AM5:AM18" si="11">Q5+AI5</f>
        <v>11</v>
      </c>
      <c r="AN5" s="11">
        <f t="shared" ref="AN5:AN18" si="12">IF(AL5=0," ",AL5/AM5)</f>
        <v>46.272727272727273</v>
      </c>
      <c r="AO5" s="12">
        <f t="shared" ref="AO5:AO18" si="13">IF(AL5=0," ",AL5/(AM5*T5)*100)</f>
        <v>121.77033492822966</v>
      </c>
    </row>
    <row r="6" spans="1:41" s="10" customFormat="1" ht="20.100000000000001" customHeight="1" x14ac:dyDescent="0.3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>
        <v>30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30</v>
      </c>
      <c r="AI7" s="11">
        <f t="shared" si="8"/>
        <v>1</v>
      </c>
      <c r="AJ7" s="12">
        <f t="shared" si="9"/>
        <v>30</v>
      </c>
      <c r="AK7" s="77"/>
      <c r="AL7" s="124">
        <f t="shared" si="10"/>
        <v>261</v>
      </c>
      <c r="AM7" s="95">
        <f t="shared" si="11"/>
        <v>8</v>
      </c>
      <c r="AN7" s="11">
        <f t="shared" si="12"/>
        <v>32.625</v>
      </c>
      <c r="AO7" s="12">
        <f t="shared" si="13"/>
        <v>95.955882352941174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>
        <v>57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57</v>
      </c>
      <c r="AI8" s="11">
        <f t="shared" si="8"/>
        <v>1</v>
      </c>
      <c r="AJ8" s="12">
        <f t="shared" si="9"/>
        <v>57</v>
      </c>
      <c r="AK8" s="77"/>
      <c r="AL8" s="124">
        <f t="shared" si="10"/>
        <v>383</v>
      </c>
      <c r="AM8" s="95">
        <f t="shared" si="11"/>
        <v>6</v>
      </c>
      <c r="AN8" s="11">
        <f t="shared" si="12"/>
        <v>63.833333333333336</v>
      </c>
      <c r="AO8" s="12">
        <f t="shared" si="13"/>
        <v>79.791666666666671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>
        <v>25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25</v>
      </c>
      <c r="AI11" s="11">
        <f t="shared" si="8"/>
        <v>1</v>
      </c>
      <c r="AJ11" s="12">
        <f t="shared" si="9"/>
        <v>25</v>
      </c>
      <c r="AK11" s="77"/>
      <c r="AL11" s="124">
        <f t="shared" si="10"/>
        <v>251</v>
      </c>
      <c r="AM11" s="95">
        <f t="shared" si="11"/>
        <v>10</v>
      </c>
      <c r="AN11" s="11">
        <f t="shared" si="12"/>
        <v>25.1</v>
      </c>
      <c r="AO11" s="12">
        <f t="shared" si="13"/>
        <v>114.09090909090909</v>
      </c>
    </row>
    <row r="12" spans="1:41" s="10" customFormat="1" ht="20.100000000000001" customHeight="1" x14ac:dyDescent="0.3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276">
        <v>23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92</v>
      </c>
      <c r="AM12" s="95">
        <f t="shared" si="11"/>
        <v>4</v>
      </c>
      <c r="AN12" s="11">
        <f t="shared" si="12"/>
        <v>23</v>
      </c>
      <c r="AO12" s="12">
        <f t="shared" si="13"/>
        <v>100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>
        <v>35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35</v>
      </c>
      <c r="AI13" s="11">
        <f t="shared" si="8"/>
        <v>1</v>
      </c>
      <c r="AJ13" s="12">
        <f t="shared" si="9"/>
        <v>35</v>
      </c>
      <c r="AK13" s="77"/>
      <c r="AL13" s="124">
        <f t="shared" si="10"/>
        <v>347</v>
      </c>
      <c r="AM13" s="95">
        <f t="shared" si="11"/>
        <v>9</v>
      </c>
      <c r="AN13" s="11">
        <f t="shared" si="12"/>
        <v>38.555555555555557</v>
      </c>
      <c r="AO13" s="12">
        <f t="shared" si="13"/>
        <v>116.83501683501683</v>
      </c>
    </row>
    <row r="14" spans="1:41" s="10" customFormat="1" ht="20.100000000000001" customHeight="1" x14ac:dyDescent="0.3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323</v>
      </c>
      <c r="AM14" s="95">
        <f t="shared" si="11"/>
        <v>9</v>
      </c>
      <c r="AN14" s="11">
        <f t="shared" si="12"/>
        <v>35.888888888888886</v>
      </c>
      <c r="AO14" s="12">
        <f t="shared" si="13"/>
        <v>92.022792022792018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>
        <v>52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52</v>
      </c>
      <c r="AI15" s="11">
        <f t="shared" si="8"/>
        <v>1</v>
      </c>
      <c r="AJ15" s="12">
        <f t="shared" si="9"/>
        <v>52</v>
      </c>
      <c r="AK15" s="77"/>
      <c r="AL15" s="124">
        <f t="shared" si="10"/>
        <v>426</v>
      </c>
      <c r="AM15" s="95">
        <f t="shared" si="11"/>
        <v>7</v>
      </c>
      <c r="AN15" s="11">
        <f t="shared" si="12"/>
        <v>60.857142857142854</v>
      </c>
      <c r="AO15" s="12">
        <f t="shared" si="13"/>
        <v>103.14769975786926</v>
      </c>
    </row>
    <row r="16" spans="1:41" s="10" customFormat="1" ht="20.100000000000001" customHeight="1" x14ac:dyDescent="0.3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317</v>
      </c>
      <c r="AM16" s="95">
        <f t="shared" si="11"/>
        <v>10</v>
      </c>
      <c r="AN16" s="11">
        <f t="shared" si="12"/>
        <v>31.7</v>
      </c>
      <c r="AO16" s="12">
        <f t="shared" si="13"/>
        <v>99.0625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253</v>
      </c>
      <c r="AI19" s="18">
        <f>SUM(V4:V18)</f>
        <v>0</v>
      </c>
      <c r="AJ19" s="23">
        <f>AH19/AH19</f>
        <v>1</v>
      </c>
      <c r="AK19" s="78"/>
      <c r="AL19" s="24">
        <f>SUM(AL4:AL18)</f>
        <v>3083</v>
      </c>
      <c r="AM19" s="18">
        <f>SUM(AM4:AM18)</f>
        <v>84</v>
      </c>
      <c r="AN19" s="18">
        <f t="shared" ref="AN19" si="21">AL19/AM19</f>
        <v>36.702380952380949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topLeftCell="A2" zoomScaleNormal="100" workbookViewId="0">
      <selection activeCell="A34" sqref="A3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27" t="s">
        <v>97</v>
      </c>
      <c r="B2" s="307" t="s">
        <v>42</v>
      </c>
      <c r="C2" s="309" t="s">
        <v>98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99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28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225</v>
      </c>
      <c r="AM5" s="95">
        <f t="shared" ref="AM5:AM18" si="10">Q5+AI5</f>
        <v>6</v>
      </c>
      <c r="AN5" s="11">
        <f t="shared" ref="AN5:AN18" si="11">IF(AL5=0," ",AL5/AM5)</f>
        <v>37.5</v>
      </c>
      <c r="AO5" s="12">
        <f t="shared" ref="AO5:AO18" si="12">IF(AL5=0," ",AL5/(AM5*T5)*100)</f>
        <v>91.463414634146346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198</v>
      </c>
      <c r="AM6" s="95">
        <f t="shared" si="10"/>
        <v>5</v>
      </c>
      <c r="AN6" s="11">
        <f t="shared" si="11"/>
        <v>39.6</v>
      </c>
      <c r="AO6" s="12">
        <f t="shared" si="12"/>
        <v>104.21052631578947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>
        <v>30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30</v>
      </c>
      <c r="AI7" s="11">
        <f t="shared" si="7"/>
        <v>1</v>
      </c>
      <c r="AJ7" s="12">
        <f t="shared" si="8"/>
        <v>30</v>
      </c>
      <c r="AK7" s="77"/>
      <c r="AL7" s="124">
        <f t="shared" si="9"/>
        <v>346</v>
      </c>
      <c r="AM7" s="95">
        <f t="shared" si="10"/>
        <v>12</v>
      </c>
      <c r="AN7" s="11">
        <f t="shared" si="11"/>
        <v>28.833333333333332</v>
      </c>
      <c r="AO7" s="12">
        <f t="shared" si="12"/>
        <v>115.33333333333333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>
        <v>11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11</v>
      </c>
      <c r="AI8" s="11">
        <f t="shared" si="7"/>
        <v>1</v>
      </c>
      <c r="AJ8" s="12">
        <f t="shared" si="8"/>
        <v>11</v>
      </c>
      <c r="AK8" s="77"/>
      <c r="AL8" s="124">
        <f t="shared" si="9"/>
        <v>97.000100000000003</v>
      </c>
      <c r="AM8" s="95">
        <f t="shared" si="10"/>
        <v>9</v>
      </c>
      <c r="AN8" s="11">
        <f t="shared" si="11"/>
        <v>10.777788888888889</v>
      </c>
      <c r="AO8" s="12">
        <f t="shared" si="12"/>
        <v>71.851925925925926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>
        <v>55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55</v>
      </c>
      <c r="AI9" s="11">
        <f t="shared" si="7"/>
        <v>1</v>
      </c>
      <c r="AJ9" s="12">
        <f t="shared" si="8"/>
        <v>55</v>
      </c>
      <c r="AK9" s="77"/>
      <c r="AL9" s="124">
        <f t="shared" si="9"/>
        <v>390</v>
      </c>
      <c r="AM9" s="95">
        <f t="shared" si="10"/>
        <v>9</v>
      </c>
      <c r="AN9" s="11">
        <f t="shared" si="11"/>
        <v>43.333333333333336</v>
      </c>
      <c r="AO9" s="12">
        <f t="shared" si="12"/>
        <v>111.11111111111111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>
        <v>34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34</v>
      </c>
      <c r="AI10" s="11">
        <f t="shared" si="7"/>
        <v>1</v>
      </c>
      <c r="AJ10" s="12">
        <f t="shared" si="8"/>
        <v>34</v>
      </c>
      <c r="AK10" s="77"/>
      <c r="AL10" s="124">
        <f t="shared" si="9"/>
        <v>151</v>
      </c>
      <c r="AM10" s="95">
        <f t="shared" si="10"/>
        <v>6</v>
      </c>
      <c r="AN10" s="11">
        <f t="shared" si="11"/>
        <v>25.166666666666668</v>
      </c>
      <c r="AO10" s="12">
        <f t="shared" si="12"/>
        <v>109.42028985507247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657</v>
      </c>
      <c r="AM11" s="95">
        <f t="shared" si="10"/>
        <v>8</v>
      </c>
      <c r="AN11" s="11">
        <f t="shared" si="11"/>
        <v>82.125</v>
      </c>
      <c r="AO11" s="12">
        <f t="shared" si="12"/>
        <v>128.3203125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>
        <v>41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1</v>
      </c>
      <c r="AJ12" s="12">
        <f t="shared" si="8"/>
        <v>41</v>
      </c>
      <c r="AK12" s="77"/>
      <c r="AL12" s="124">
        <f t="shared" si="9"/>
        <v>123</v>
      </c>
      <c r="AM12" s="95">
        <f t="shared" si="10"/>
        <v>3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>
        <v>34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34</v>
      </c>
      <c r="AI13" s="11">
        <f t="shared" si="7"/>
        <v>1</v>
      </c>
      <c r="AJ13" s="12">
        <f t="shared" si="8"/>
        <v>34</v>
      </c>
      <c r="AK13" s="77"/>
      <c r="AL13" s="124">
        <f t="shared" si="9"/>
        <v>203</v>
      </c>
      <c r="AM13" s="95">
        <f t="shared" si="10"/>
        <v>8</v>
      </c>
      <c r="AN13" s="11">
        <f t="shared" si="11"/>
        <v>25.375</v>
      </c>
      <c r="AO13" s="12">
        <f t="shared" si="12"/>
        <v>93.981481481481481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101</v>
      </c>
      <c r="AM14" s="95">
        <f t="shared" si="10"/>
        <v>4</v>
      </c>
      <c r="AN14" s="11">
        <f t="shared" si="11"/>
        <v>25.25</v>
      </c>
      <c r="AO14" s="12">
        <f t="shared" si="12"/>
        <v>84.166666666666671</v>
      </c>
    </row>
    <row r="15" spans="1:41" s="10" customFormat="1" ht="20.100000000000001" customHeight="1" x14ac:dyDescent="0.3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205</v>
      </c>
      <c r="AI19" s="18">
        <f>SUM(AI4:AI18)</f>
        <v>6</v>
      </c>
      <c r="AJ19" s="23">
        <f>AH19/AI19</f>
        <v>34.166666666666664</v>
      </c>
      <c r="AK19" s="78"/>
      <c r="AL19" s="24">
        <f>SUM(AL4:AL18)</f>
        <v>2773.0001000000002</v>
      </c>
      <c r="AM19" s="18">
        <f>SUM(AM4:AM18)</f>
        <v>84</v>
      </c>
      <c r="AN19" s="18">
        <f t="shared" ref="AN19" si="17">AL19/AM19</f>
        <v>33.011905952380957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topLeftCell="A2" zoomScale="115" zoomScaleNormal="115" workbookViewId="0">
      <selection activeCell="U9" sqref="U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26</v>
      </c>
      <c r="B2" s="307" t="s">
        <v>42</v>
      </c>
      <c r="C2" s="309" t="s">
        <v>43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110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212</v>
      </c>
      <c r="AM4" s="123">
        <f t="shared" ref="AM4" si="1">Q4+AI4</f>
        <v>6</v>
      </c>
      <c r="AN4" s="8">
        <f>IF(AL4=0," ",AL4/AM4)</f>
        <v>35.333333333333336</v>
      </c>
      <c r="AO4" s="94">
        <f t="shared" ref="AO4" si="2">IF(AL4=0," ",AL4/(AM4*T4)*100)</f>
        <v>92.982456140350877</v>
      </c>
    </row>
    <row r="5" spans="1:41" s="10" customFormat="1" ht="20.100000000000001" customHeight="1" x14ac:dyDescent="0.3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>
        <v>56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56</v>
      </c>
      <c r="AI5" s="11">
        <f t="shared" ref="AI5:AI18" si="8">COUNTIF(U5:AG5,"&gt;0")</f>
        <v>1</v>
      </c>
      <c r="AJ5" s="12">
        <f t="shared" ref="AJ5:AJ18" si="9">IF(AH5=0," ",AH5/AI5)</f>
        <v>56</v>
      </c>
      <c r="AK5" s="77"/>
      <c r="AL5" s="124">
        <f t="shared" ref="AL5:AL18" si="10">P5+AH5</f>
        <v>560</v>
      </c>
      <c r="AM5" s="95">
        <f t="shared" ref="AM5:AM18" si="11">Q5+AI5</f>
        <v>10</v>
      </c>
      <c r="AN5" s="11">
        <f t="shared" ref="AN5:AN18" si="12">IF(AL5=0," ",AL5/AM5)</f>
        <v>56</v>
      </c>
      <c r="AO5" s="12">
        <f t="shared" ref="AO5:AO18" si="13">IF(AL5=0," ",AL5/(AM5*T5)*100)</f>
        <v>96.551724137931032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>
        <v>29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29</v>
      </c>
      <c r="AI6" s="11">
        <f t="shared" si="8"/>
        <v>1</v>
      </c>
      <c r="AJ6" s="12">
        <f t="shared" si="9"/>
        <v>29</v>
      </c>
      <c r="AK6" s="77"/>
      <c r="AL6" s="124">
        <f t="shared" si="10"/>
        <v>306</v>
      </c>
      <c r="AM6" s="95">
        <f t="shared" si="11"/>
        <v>11</v>
      </c>
      <c r="AN6" s="11">
        <f t="shared" si="12"/>
        <v>27.818181818181817</v>
      </c>
      <c r="AO6" s="12">
        <f t="shared" si="13"/>
        <v>103.03030303030303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>
        <v>38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38</v>
      </c>
      <c r="AI7" s="11">
        <f t="shared" si="8"/>
        <v>1</v>
      </c>
      <c r="AJ7" s="12">
        <f t="shared" si="9"/>
        <v>38</v>
      </c>
      <c r="AK7" s="77"/>
      <c r="AL7" s="124">
        <f t="shared" si="10"/>
        <v>353</v>
      </c>
      <c r="AM7" s="95">
        <f t="shared" si="11"/>
        <v>10</v>
      </c>
      <c r="AN7" s="11">
        <f t="shared" si="12"/>
        <v>35.299999999999997</v>
      </c>
      <c r="AO7" s="12">
        <f t="shared" si="13"/>
        <v>117.66666666666667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>
        <v>77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77</v>
      </c>
      <c r="AI8" s="11">
        <f t="shared" si="8"/>
        <v>1</v>
      </c>
      <c r="AJ8" s="12">
        <f t="shared" si="9"/>
        <v>77</v>
      </c>
      <c r="AK8" s="77"/>
      <c r="AL8" s="124">
        <f t="shared" si="10"/>
        <v>496</v>
      </c>
      <c r="AM8" s="95">
        <f t="shared" si="11"/>
        <v>9</v>
      </c>
      <c r="AN8" s="11">
        <f t="shared" si="12"/>
        <v>55.111111111111114</v>
      </c>
      <c r="AO8" s="12">
        <f t="shared" si="13"/>
        <v>103.98322851153038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>
        <v>26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26</v>
      </c>
      <c r="AI9" s="11">
        <f t="shared" si="8"/>
        <v>1</v>
      </c>
      <c r="AJ9" s="12">
        <f t="shared" si="9"/>
        <v>26</v>
      </c>
      <c r="AK9" s="77"/>
      <c r="AL9" s="124">
        <f t="shared" si="10"/>
        <v>173</v>
      </c>
      <c r="AM9" s="95">
        <f t="shared" si="11"/>
        <v>8</v>
      </c>
      <c r="AN9" s="11">
        <f t="shared" si="12"/>
        <v>21.625</v>
      </c>
      <c r="AO9" s="12">
        <f t="shared" si="13"/>
        <v>90.104166666666657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>
        <v>56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56</v>
      </c>
      <c r="AI11" s="11">
        <f t="shared" si="8"/>
        <v>1</v>
      </c>
      <c r="AJ11" s="12">
        <f t="shared" si="9"/>
        <v>56</v>
      </c>
      <c r="AK11" s="77"/>
      <c r="AL11" s="124">
        <f t="shared" si="10"/>
        <v>706</v>
      </c>
      <c r="AM11" s="95">
        <f t="shared" si="11"/>
        <v>12</v>
      </c>
      <c r="AN11" s="11">
        <f t="shared" si="12"/>
        <v>58.833333333333336</v>
      </c>
      <c r="AO11" s="12">
        <f t="shared" si="13"/>
        <v>108.95061728395061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359</v>
      </c>
      <c r="AM12" s="95">
        <f t="shared" si="11"/>
        <v>10</v>
      </c>
      <c r="AN12" s="11">
        <f t="shared" si="12"/>
        <v>35.9</v>
      </c>
      <c r="AO12" s="12">
        <f t="shared" si="13"/>
        <v>97.027027027027017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282</v>
      </c>
      <c r="AI19" s="18">
        <f>SUM(AI4:AI18)</f>
        <v>6</v>
      </c>
      <c r="AJ19" s="23">
        <f>AH19/AI19</f>
        <v>47</v>
      </c>
      <c r="AK19" s="78"/>
      <c r="AL19" s="24">
        <f>SUM(AL4:AL18)</f>
        <v>3354</v>
      </c>
      <c r="AM19" s="18">
        <f>SUM(AM4:AM18)</f>
        <v>84</v>
      </c>
      <c r="AN19" s="18">
        <f t="shared" ref="AN19" si="18">AL19/AM19</f>
        <v>39.928571428571431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115" zoomScaleNormal="115" workbookViewId="0">
      <selection activeCell="U7" sqref="U7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27" t="s">
        <v>333</v>
      </c>
      <c r="B2" s="307" t="s">
        <v>42</v>
      </c>
      <c r="C2" s="309" t="s">
        <v>43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118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28"/>
      <c r="B3" s="308"/>
      <c r="C3" s="6">
        <v>1</v>
      </c>
      <c r="D3" s="2">
        <v>2</v>
      </c>
      <c r="E3" s="2">
        <v>3</v>
      </c>
      <c r="F3" s="27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4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>
        <v>22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22</v>
      </c>
      <c r="AI4" s="8">
        <f>COUNTIF(U4:AG4,"&gt;0")</f>
        <v>1</v>
      </c>
      <c r="AJ4" s="94">
        <f>IF(AH4=0," ",AH4/AI4)</f>
        <v>22</v>
      </c>
      <c r="AK4" s="77"/>
      <c r="AL4" s="122">
        <f t="shared" ref="AL4" si="0">P4+AH4</f>
        <v>403</v>
      </c>
      <c r="AM4" s="123">
        <f t="shared" ref="AM4" si="1">Q4+AI4</f>
        <v>13</v>
      </c>
      <c r="AN4" s="8">
        <f>IF(AL4=0," ",AL4/AM4)</f>
        <v>31</v>
      </c>
      <c r="AO4" s="94">
        <f>IF(AL4=0," ",AL4/(AM4*T4)*100)</f>
        <v>100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73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175</v>
      </c>
      <c r="AM5" s="95">
        <f t="shared" ref="AM5:AM18" si="10">Q5+AI5</f>
        <v>9</v>
      </c>
      <c r="AN5" s="11">
        <f t="shared" ref="AN5:AN18" si="11">IF(AL5=0," ",AL5/AM5)</f>
        <v>19.444444444444443</v>
      </c>
      <c r="AO5" s="12">
        <f t="shared" ref="AO5:AO18" si="12">IF(AL5=0," ",AL5/(AM5*T5)*100)</f>
        <v>81.018518518518519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>
        <v>85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85</v>
      </c>
      <c r="AI6" s="11">
        <f t="shared" si="7"/>
        <v>1</v>
      </c>
      <c r="AJ6" s="12">
        <f t="shared" si="8"/>
        <v>85</v>
      </c>
      <c r="AK6" s="77"/>
      <c r="AL6" s="124">
        <f t="shared" si="9"/>
        <v>982</v>
      </c>
      <c r="AM6" s="95">
        <f t="shared" si="10"/>
        <v>13</v>
      </c>
      <c r="AN6" s="11">
        <f t="shared" si="11"/>
        <v>75.538461538461533</v>
      </c>
      <c r="AO6" s="12">
        <f t="shared" si="12"/>
        <v>111.08597285067874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>
        <v>48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48</v>
      </c>
      <c r="AI7" s="11">
        <f t="shared" si="7"/>
        <v>1</v>
      </c>
      <c r="AJ7" s="12">
        <f t="shared" si="8"/>
        <v>48</v>
      </c>
      <c r="AK7" s="77"/>
      <c r="AL7" s="124">
        <f t="shared" si="9"/>
        <v>261</v>
      </c>
      <c r="AM7" s="95">
        <f t="shared" si="10"/>
        <v>7</v>
      </c>
      <c r="AN7" s="11">
        <f t="shared" si="11"/>
        <v>37.285714285714285</v>
      </c>
      <c r="AO7" s="12">
        <f t="shared" si="12"/>
        <v>106.53061224489795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73">
        <v>17</v>
      </c>
      <c r="K8" s="164">
        <v>46</v>
      </c>
      <c r="L8" s="273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>
        <v>55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55</v>
      </c>
      <c r="AI8" s="11">
        <f t="shared" si="7"/>
        <v>1</v>
      </c>
      <c r="AJ8" s="12">
        <f t="shared" si="8"/>
        <v>55</v>
      </c>
      <c r="AK8" s="77"/>
      <c r="AL8" s="124">
        <f t="shared" si="9"/>
        <v>303</v>
      </c>
      <c r="AM8" s="95">
        <f t="shared" si="10"/>
        <v>9</v>
      </c>
      <c r="AN8" s="11">
        <f t="shared" si="11"/>
        <v>33.666666666666664</v>
      </c>
      <c r="AO8" s="12">
        <f t="shared" si="12"/>
        <v>96.19047619047619</v>
      </c>
    </row>
    <row r="9" spans="1:41" s="10" customFormat="1" ht="20.100000000000001" customHeight="1" x14ac:dyDescent="0.3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276">
        <v>20</v>
      </c>
      <c r="U9" s="163">
        <v>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</v>
      </c>
      <c r="AI9" s="11">
        <f t="shared" si="7"/>
        <v>1</v>
      </c>
      <c r="AJ9" s="12">
        <f t="shared" si="8"/>
        <v>5</v>
      </c>
      <c r="AK9" s="77"/>
      <c r="AL9" s="124">
        <f t="shared" si="9"/>
        <v>86</v>
      </c>
      <c r="AM9" s="95">
        <f t="shared" si="10"/>
        <v>5</v>
      </c>
      <c r="AN9" s="11">
        <f t="shared" si="11"/>
        <v>17.2</v>
      </c>
      <c r="AO9" s="12">
        <f t="shared" si="12"/>
        <v>86</v>
      </c>
    </row>
    <row r="10" spans="1:41" s="10" customFormat="1" ht="20.100000000000001" customHeight="1" x14ac:dyDescent="0.3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73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98</v>
      </c>
      <c r="AM12" s="95">
        <f t="shared" si="10"/>
        <v>6</v>
      </c>
      <c r="AN12" s="11">
        <f t="shared" si="11"/>
        <v>16.333333333333332</v>
      </c>
      <c r="AO12" s="12">
        <f t="shared" si="12"/>
        <v>85.964912280701753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73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>
        <v>28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28</v>
      </c>
      <c r="AI13" s="11">
        <f t="shared" si="7"/>
        <v>1</v>
      </c>
      <c r="AJ13" s="12">
        <f t="shared" si="8"/>
        <v>28</v>
      </c>
      <c r="AK13" s="77"/>
      <c r="AL13" s="124">
        <f t="shared" si="9"/>
        <v>211</v>
      </c>
      <c r="AM13" s="95">
        <f t="shared" si="10"/>
        <v>9</v>
      </c>
      <c r="AN13" s="11">
        <f t="shared" si="11"/>
        <v>23.444444444444443</v>
      </c>
      <c r="AO13" s="12">
        <f t="shared" si="12"/>
        <v>101.93236714975846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243</v>
      </c>
      <c r="AI19" s="18">
        <f>SUM(AI4:AI18)</f>
        <v>6</v>
      </c>
      <c r="AJ19" s="23">
        <f>AH19/AI19</f>
        <v>40.5</v>
      </c>
      <c r="AK19" s="78"/>
      <c r="AL19" s="24">
        <f>SUM(AL4:AL18)</f>
        <v>2732</v>
      </c>
      <c r="AM19" s="18">
        <f>SUM(AM4:AM18)</f>
        <v>84</v>
      </c>
      <c r="AN19" s="18">
        <f t="shared" ref="AN19" si="18">AL19/AM19</f>
        <v>32.523809523809526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Normal="100" workbookViewId="0">
      <selection activeCell="U16" sqref="U1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28</v>
      </c>
      <c r="B2" s="307" t="s">
        <v>42</v>
      </c>
      <c r="C2" s="309" t="s">
        <v>43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210</v>
      </c>
      <c r="AM4" s="123">
        <f t="shared" ref="AM4" si="1">Q4+AI4</f>
        <v>7</v>
      </c>
      <c r="AN4" s="8">
        <f>IF(AL4=0," ",AL4/AM4)</f>
        <v>30</v>
      </c>
      <c r="AO4" s="94">
        <f>IF(AL4=0," ",AL4/(AM4*T4)*100)</f>
        <v>125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155</v>
      </c>
      <c r="AM5" s="95">
        <f t="shared" ref="AM5:AM18" si="10">Q5+AI5</f>
        <v>5</v>
      </c>
      <c r="AN5" s="11">
        <f t="shared" ref="AN5:AN18" si="11">IF(AL5=0," ",AL5/AM5)</f>
        <v>31</v>
      </c>
      <c r="AO5" s="12">
        <f t="shared" ref="AO5:AO18" si="12">IF(AL5=0," ",AL5/(AM5*T5)*100)</f>
        <v>114.81481481481481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>
        <v>44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44</v>
      </c>
      <c r="AI7" s="11">
        <f t="shared" si="7"/>
        <v>1</v>
      </c>
      <c r="AJ7" s="12">
        <f t="shared" si="8"/>
        <v>44</v>
      </c>
      <c r="AK7" s="77"/>
      <c r="AL7" s="124">
        <f t="shared" si="9"/>
        <v>290</v>
      </c>
      <c r="AM7" s="95">
        <f t="shared" si="10"/>
        <v>9</v>
      </c>
      <c r="AN7" s="11">
        <f t="shared" si="11"/>
        <v>32.222222222222221</v>
      </c>
      <c r="AO7" s="12">
        <f t="shared" si="12"/>
        <v>111.11111111111111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>
        <v>11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11</v>
      </c>
      <c r="AI9" s="11">
        <f t="shared" si="7"/>
        <v>1</v>
      </c>
      <c r="AJ9" s="12">
        <f t="shared" si="8"/>
        <v>11</v>
      </c>
      <c r="AK9" s="77"/>
      <c r="AL9" s="124">
        <f t="shared" si="9"/>
        <v>139</v>
      </c>
      <c r="AM9" s="95">
        <f t="shared" si="10"/>
        <v>8</v>
      </c>
      <c r="AN9" s="11">
        <f t="shared" si="11"/>
        <v>17.375</v>
      </c>
      <c r="AO9" s="12">
        <f t="shared" si="12"/>
        <v>96.527777777777786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127</v>
      </c>
      <c r="AM10" s="95">
        <f t="shared" si="10"/>
        <v>6</v>
      </c>
      <c r="AN10" s="11">
        <f t="shared" si="11"/>
        <v>21.166666666666668</v>
      </c>
      <c r="AO10" s="12">
        <f t="shared" si="12"/>
        <v>75.595238095238088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>
        <v>52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52</v>
      </c>
      <c r="AI11" s="11">
        <f t="shared" si="7"/>
        <v>1</v>
      </c>
      <c r="AJ11" s="12">
        <f t="shared" si="8"/>
        <v>52</v>
      </c>
      <c r="AK11" s="77"/>
      <c r="AL11" s="124">
        <f t="shared" si="9"/>
        <v>367</v>
      </c>
      <c r="AM11" s="95">
        <f t="shared" si="10"/>
        <v>6</v>
      </c>
      <c r="AN11" s="11">
        <f t="shared" si="11"/>
        <v>61.166666666666664</v>
      </c>
      <c r="AO11" s="12">
        <f t="shared" si="12"/>
        <v>98.655913978494624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>
        <v>38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38</v>
      </c>
      <c r="AI12" s="11">
        <f t="shared" si="7"/>
        <v>1</v>
      </c>
      <c r="AJ12" s="12">
        <f t="shared" si="8"/>
        <v>38</v>
      </c>
      <c r="AK12" s="77"/>
      <c r="AL12" s="124">
        <f t="shared" si="9"/>
        <v>177</v>
      </c>
      <c r="AM12" s="95">
        <f t="shared" si="10"/>
        <v>6</v>
      </c>
      <c r="AN12" s="11">
        <f t="shared" si="11"/>
        <v>29.5</v>
      </c>
      <c r="AO12" s="12">
        <f t="shared" si="12"/>
        <v>118</v>
      </c>
    </row>
    <row r="13" spans="1:41" s="10" customFormat="1" ht="20.100000000000001" customHeight="1" x14ac:dyDescent="0.3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276">
        <v>25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127</v>
      </c>
      <c r="AM13" s="95">
        <f t="shared" si="10"/>
        <v>5</v>
      </c>
      <c r="AN13" s="11">
        <f t="shared" si="11"/>
        <v>25.4</v>
      </c>
      <c r="AO13" s="12">
        <f t="shared" si="12"/>
        <v>101.6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>
        <v>18</v>
      </c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18</v>
      </c>
      <c r="AI14" s="11">
        <f t="shared" si="7"/>
        <v>1</v>
      </c>
      <c r="AJ14" s="12">
        <f t="shared" si="8"/>
        <v>18</v>
      </c>
      <c r="AK14" s="77"/>
      <c r="AL14" s="124">
        <f t="shared" si="9"/>
        <v>218</v>
      </c>
      <c r="AM14" s="95">
        <f t="shared" si="10"/>
        <v>8</v>
      </c>
      <c r="AN14" s="11">
        <f t="shared" si="11"/>
        <v>27.25</v>
      </c>
      <c r="AO14" s="12">
        <f t="shared" si="12"/>
        <v>80.14705882352942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>
        <v>22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22</v>
      </c>
      <c r="AI15" s="11">
        <f t="shared" si="7"/>
        <v>1</v>
      </c>
      <c r="AJ15" s="12">
        <f t="shared" si="8"/>
        <v>22</v>
      </c>
      <c r="AK15" s="77"/>
      <c r="AL15" s="124">
        <f t="shared" si="9"/>
        <v>142</v>
      </c>
      <c r="AM15" s="95">
        <f t="shared" si="10"/>
        <v>8</v>
      </c>
      <c r="AN15" s="11">
        <f t="shared" si="11"/>
        <v>17.75</v>
      </c>
      <c r="AO15" s="12">
        <f t="shared" si="12"/>
        <v>104.41176470588236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260</v>
      </c>
      <c r="AM17" s="95">
        <f t="shared" si="10"/>
        <v>6</v>
      </c>
      <c r="AN17" s="11">
        <f t="shared" si="11"/>
        <v>43.333333333333336</v>
      </c>
      <c r="AO17" s="12">
        <f t="shared" si="12"/>
        <v>117.11711711711712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185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185</v>
      </c>
      <c r="AI19" s="18">
        <f t="shared" si="14"/>
        <v>6</v>
      </c>
      <c r="AJ19" s="23">
        <f>AH19/AI19</f>
        <v>30.833333333333332</v>
      </c>
      <c r="AK19" s="78"/>
      <c r="AL19" s="24">
        <f>SUM(AL4:AL18)</f>
        <v>2578</v>
      </c>
      <c r="AM19" s="18">
        <f>SUM(AM4:AM18)</f>
        <v>84</v>
      </c>
      <c r="AN19" s="18">
        <f t="shared" ref="AN19" si="16">AL19/AM19</f>
        <v>30.69047619047619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115" zoomScaleNormal="115" workbookViewId="0">
      <selection activeCell="U11" sqref="U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5" ht="121.5" customHeight="1" thickBot="1" x14ac:dyDescent="0.35">
      <c r="A2" s="327" t="s">
        <v>142</v>
      </c>
      <c r="B2" s="307" t="s">
        <v>42</v>
      </c>
      <c r="C2" s="309" t="s">
        <v>98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99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5" ht="15" customHeight="1" thickBot="1" x14ac:dyDescent="0.35">
      <c r="A3" s="328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>
        <v>36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36</v>
      </c>
      <c r="AI4" s="8">
        <f>COUNTIF(U4:AG4,"&gt;0")</f>
        <v>1</v>
      </c>
      <c r="AJ4" s="94">
        <f>IF(AH4=0," ",AH4/AI4)</f>
        <v>36</v>
      </c>
      <c r="AK4" s="77"/>
      <c r="AL4" s="122">
        <f t="shared" ref="AL4" si="0">P4+AH4</f>
        <v>399</v>
      </c>
      <c r="AM4" s="123">
        <f t="shared" ref="AM4" si="1">Q4+AI4</f>
        <v>10</v>
      </c>
      <c r="AN4" s="8">
        <f>IF(AL4=0," ",AL4/AM4)</f>
        <v>39.9</v>
      </c>
      <c r="AO4" s="94">
        <f>IF(AL4=0," ",AL4/(AM4*T4)*100)</f>
        <v>105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132</v>
      </c>
      <c r="AM5" s="95">
        <f t="shared" ref="AM5:AM18" si="10">Q5+AI5</f>
        <v>7</v>
      </c>
      <c r="AN5" s="11">
        <f t="shared" ref="AN5:AN18" si="11">IF(AL5=0," ",AL5/AM5)</f>
        <v>18.857142857142858</v>
      </c>
      <c r="AO5" s="12">
        <f t="shared" ref="AO5:AO18" si="12">IF(AL5=0," ",AL5/(AM5*T5)*100)</f>
        <v>94.285714285714278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>
        <v>16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16</v>
      </c>
      <c r="AI6" s="11">
        <f t="shared" si="7"/>
        <v>1</v>
      </c>
      <c r="AJ6" s="12">
        <f t="shared" si="8"/>
        <v>16</v>
      </c>
      <c r="AK6" s="77"/>
      <c r="AL6" s="124">
        <f t="shared" si="9"/>
        <v>125</v>
      </c>
      <c r="AM6" s="95">
        <f t="shared" si="10"/>
        <v>10</v>
      </c>
      <c r="AN6" s="11">
        <f t="shared" si="11"/>
        <v>12.5</v>
      </c>
      <c r="AO6" s="12">
        <f t="shared" si="12"/>
        <v>83.333333333333343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738</v>
      </c>
      <c r="AM7" s="95">
        <f t="shared" si="10"/>
        <v>10</v>
      </c>
      <c r="AN7" s="11">
        <f t="shared" si="11"/>
        <v>73.8</v>
      </c>
      <c r="AO7" s="12">
        <f t="shared" si="12"/>
        <v>93.417721518987335</v>
      </c>
    </row>
    <row r="8" spans="1:45" s="10" customFormat="1" ht="20.100000000000001" customHeight="1" x14ac:dyDescent="0.3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>
        <v>20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20</v>
      </c>
      <c r="AI9" s="11">
        <f t="shared" si="7"/>
        <v>1</v>
      </c>
      <c r="AJ9" s="12">
        <f t="shared" si="8"/>
        <v>20</v>
      </c>
      <c r="AK9" s="77"/>
      <c r="AL9" s="124">
        <f t="shared" si="9"/>
        <v>504</v>
      </c>
      <c r="AM9" s="95">
        <f t="shared" si="10"/>
        <v>12</v>
      </c>
      <c r="AN9" s="11">
        <f t="shared" si="11"/>
        <v>42</v>
      </c>
      <c r="AO9" s="224">
        <f t="shared" si="12"/>
        <v>113.51351351351352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>
        <v>15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15</v>
      </c>
      <c r="AI10" s="11">
        <f t="shared" si="7"/>
        <v>1</v>
      </c>
      <c r="AJ10" s="12">
        <f t="shared" si="8"/>
        <v>15</v>
      </c>
      <c r="AK10" s="77"/>
      <c r="AL10" s="124">
        <f t="shared" si="9"/>
        <v>161</v>
      </c>
      <c r="AM10" s="95">
        <f t="shared" si="10"/>
        <v>7</v>
      </c>
      <c r="AN10" s="11">
        <f t="shared" si="11"/>
        <v>23</v>
      </c>
      <c r="AO10" s="12">
        <f t="shared" si="12"/>
        <v>114.99999999999999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>
        <v>19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19</v>
      </c>
      <c r="AI13" s="11">
        <f t="shared" si="7"/>
        <v>1</v>
      </c>
      <c r="AJ13" s="12">
        <f t="shared" si="8"/>
        <v>19</v>
      </c>
      <c r="AK13" s="77"/>
      <c r="AL13" s="124">
        <f t="shared" si="9"/>
        <v>230</v>
      </c>
      <c r="AM13" s="95">
        <f t="shared" si="10"/>
        <v>9</v>
      </c>
      <c r="AN13" s="11">
        <f t="shared" si="11"/>
        <v>25.555555555555557</v>
      </c>
      <c r="AO13" s="12">
        <f t="shared" si="12"/>
        <v>106.4814814814815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3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>
        <v>14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14</v>
      </c>
      <c r="AI15" s="11">
        <f t="shared" si="7"/>
        <v>1</v>
      </c>
      <c r="AJ15" s="12">
        <f t="shared" si="8"/>
        <v>14</v>
      </c>
      <c r="AK15" s="77"/>
      <c r="AL15" s="124">
        <f t="shared" si="9"/>
        <v>174</v>
      </c>
      <c r="AM15" s="95">
        <f t="shared" si="10"/>
        <v>8</v>
      </c>
      <c r="AN15" s="11">
        <f t="shared" si="11"/>
        <v>21.75</v>
      </c>
      <c r="AO15" s="12">
        <f t="shared" si="12"/>
        <v>94.565217391304344</v>
      </c>
    </row>
    <row r="16" spans="1:45" s="10" customFormat="1" ht="20.100000000000001" customHeight="1" x14ac:dyDescent="0.3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280">
        <v>20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120</v>
      </c>
      <c r="AI19" s="18">
        <f>SUM(AI4:AI15)</f>
        <v>6</v>
      </c>
      <c r="AJ19" s="23">
        <f>AH19/AI19</f>
        <v>20</v>
      </c>
      <c r="AK19" s="78"/>
      <c r="AL19" s="24">
        <f>SUM(AL4:AL15)</f>
        <v>2740</v>
      </c>
      <c r="AM19" s="18">
        <f>SUM(AM4:AM15)</f>
        <v>84</v>
      </c>
      <c r="AN19" s="18">
        <f t="shared" ref="AN19" si="17">AL19/AM19</f>
        <v>32.61904761904762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115" zoomScaleNormal="115" workbookViewId="0">
      <selection activeCell="U6" sqref="U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30</v>
      </c>
      <c r="B2" s="307" t="s">
        <v>42</v>
      </c>
      <c r="C2" s="309" t="s">
        <v>153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77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>
        <v>21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21</v>
      </c>
      <c r="AI4" s="8">
        <f>COUNTIF(U4:AG4,"&gt;0")</f>
        <v>1</v>
      </c>
      <c r="AJ4" s="94">
        <f>IF(AH4=0," ",AH4/AI4)</f>
        <v>21</v>
      </c>
      <c r="AK4" s="77"/>
      <c r="AL4" s="122">
        <f t="shared" ref="AL4" si="1">P4+AH4</f>
        <v>201</v>
      </c>
      <c r="AM4" s="123">
        <f t="shared" ref="AM4" si="2">Q4+AI4</f>
        <v>10</v>
      </c>
      <c r="AN4" s="8">
        <f>IF(AL4=0," ",AL4/AM4)</f>
        <v>20.100000000000001</v>
      </c>
      <c r="AO4" s="94">
        <f>IF(AL4=0," ",AL4/(AM4*T4)*100)</f>
        <v>105.78947368421052</v>
      </c>
    </row>
    <row r="5" spans="1:41" s="10" customFormat="1" ht="20.100000000000001" customHeight="1" x14ac:dyDescent="0.3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>
        <v>25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25</v>
      </c>
      <c r="AI5" s="11">
        <f t="shared" ref="AI5:AI18" si="8">COUNTIF(U5:AG5,"&gt;0")</f>
        <v>1</v>
      </c>
      <c r="AJ5" s="12">
        <f t="shared" ref="AJ5:AJ18" si="9">IF(AH5=0," ",AH5/AI5)</f>
        <v>25</v>
      </c>
      <c r="AK5" s="77"/>
      <c r="AL5" s="124">
        <f t="shared" ref="AL5:AL18" si="10">P5+AH5</f>
        <v>169</v>
      </c>
      <c r="AM5" s="95">
        <f t="shared" ref="AM5:AM18" si="11">Q5+AI5</f>
        <v>11</v>
      </c>
      <c r="AN5" s="11">
        <f t="shared" ref="AN5:AN18" si="12">IF(AL5=0," ",AL5/AM5)</f>
        <v>15.363636363636363</v>
      </c>
      <c r="AO5" s="12">
        <f t="shared" ref="AO5:AO18" si="13">IF(AL5=0," ",AL5/(AM5*T5)*100)</f>
        <v>85.353535353535349</v>
      </c>
    </row>
    <row r="6" spans="1:41" s="10" customFormat="1" ht="20.100000000000001" customHeight="1" x14ac:dyDescent="0.3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>
        <v>80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80</v>
      </c>
      <c r="AI6" s="11">
        <f t="shared" si="8"/>
        <v>1</v>
      </c>
      <c r="AJ6" s="12">
        <f t="shared" si="9"/>
        <v>80</v>
      </c>
      <c r="AK6" s="77"/>
      <c r="AL6" s="124">
        <f t="shared" si="10"/>
        <v>412</v>
      </c>
      <c r="AM6" s="95">
        <f t="shared" si="11"/>
        <v>7</v>
      </c>
      <c r="AN6" s="11">
        <f t="shared" si="12"/>
        <v>58.857142857142854</v>
      </c>
      <c r="AO6" s="12">
        <f t="shared" si="13"/>
        <v>86.554621848739501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>
        <v>20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20</v>
      </c>
      <c r="AI7" s="11">
        <f t="shared" si="8"/>
        <v>1</v>
      </c>
      <c r="AJ7" s="12">
        <f t="shared" si="9"/>
        <v>20</v>
      </c>
      <c r="AK7" s="77"/>
      <c r="AL7" s="124">
        <f t="shared" si="10"/>
        <v>205</v>
      </c>
      <c r="AM7" s="95">
        <f t="shared" si="11"/>
        <v>8</v>
      </c>
      <c r="AN7" s="11">
        <f t="shared" si="12"/>
        <v>25.625</v>
      </c>
      <c r="AO7" s="12">
        <f t="shared" si="13"/>
        <v>106.77083333333333</v>
      </c>
    </row>
    <row r="8" spans="1:41" s="10" customFormat="1" ht="20.100000000000001" customHeight="1" x14ac:dyDescent="0.3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209</v>
      </c>
      <c r="AM8" s="95">
        <f t="shared" si="11"/>
        <v>7</v>
      </c>
      <c r="AN8" s="11">
        <f t="shared" si="12"/>
        <v>29.857142857142858</v>
      </c>
      <c r="AO8" s="12">
        <f t="shared" si="13"/>
        <v>90.476190476190482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>
        <v>16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16</v>
      </c>
      <c r="AI9" s="11">
        <f t="shared" si="8"/>
        <v>1</v>
      </c>
      <c r="AJ9" s="12">
        <f t="shared" si="9"/>
        <v>16</v>
      </c>
      <c r="AK9" s="77"/>
      <c r="AL9" s="124">
        <f t="shared" si="10"/>
        <v>206</v>
      </c>
      <c r="AM9" s="95">
        <f t="shared" si="11"/>
        <v>10</v>
      </c>
      <c r="AN9" s="11">
        <f t="shared" si="12"/>
        <v>20.6</v>
      </c>
      <c r="AO9" s="12">
        <f t="shared" si="13"/>
        <v>98.095238095238088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161</v>
      </c>
      <c r="AM11" s="95">
        <f t="shared" si="11"/>
        <v>8</v>
      </c>
      <c r="AN11" s="11">
        <f t="shared" si="12"/>
        <v>20.125</v>
      </c>
      <c r="AO11" s="12">
        <f t="shared" si="13"/>
        <v>74.537037037037038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>
        <v>40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40</v>
      </c>
      <c r="AI12" s="11">
        <f t="shared" si="8"/>
        <v>1</v>
      </c>
      <c r="AJ12" s="12">
        <f t="shared" si="9"/>
        <v>40</v>
      </c>
      <c r="AK12" s="77"/>
      <c r="AL12" s="124">
        <f t="shared" si="10"/>
        <v>369</v>
      </c>
      <c r="AM12" s="95">
        <f t="shared" si="11"/>
        <v>12</v>
      </c>
      <c r="AN12" s="11">
        <f t="shared" si="12"/>
        <v>30.75</v>
      </c>
      <c r="AO12" s="12">
        <f t="shared" si="13"/>
        <v>90.441176470588232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254</v>
      </c>
      <c r="AM13" s="95">
        <f t="shared" si="11"/>
        <v>9</v>
      </c>
      <c r="AN13" s="11">
        <f t="shared" si="12"/>
        <v>28.222222222222221</v>
      </c>
      <c r="AO13" s="12">
        <f t="shared" si="13"/>
        <v>80.634920634920633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202</v>
      </c>
      <c r="AI19" s="18">
        <f>SUM(AI4:AI18)</f>
        <v>6</v>
      </c>
      <c r="AJ19" s="23">
        <f>AH19/AI19</f>
        <v>33.666666666666664</v>
      </c>
      <c r="AK19" s="78"/>
      <c r="AL19" s="24">
        <f>SUM(AL4:AL18)</f>
        <v>2252</v>
      </c>
      <c r="AM19" s="18">
        <f>SUM(AM4:AM18)</f>
        <v>84</v>
      </c>
      <c r="AN19" s="18">
        <f t="shared" ref="AN19" si="18">AL19/AM19</f>
        <v>26.80952380952381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topLeftCell="A2" zoomScale="110" zoomScaleNormal="110" workbookViewId="0">
      <selection activeCell="U6" sqref="U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73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31</v>
      </c>
      <c r="B2" s="307" t="s">
        <v>42</v>
      </c>
      <c r="C2" s="309" t="s">
        <v>43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161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7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00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81</v>
      </c>
      <c r="AM4" s="123">
        <f>Q4+AI4</f>
        <v>5</v>
      </c>
      <c r="AN4" s="8">
        <f>IF(AL4=0," ",AL4/AM4)</f>
        <v>16.2</v>
      </c>
      <c r="AO4" s="94">
        <f>IF(AL4=0," ",AL4/(AM4*T4)*100)</f>
        <v>108</v>
      </c>
    </row>
    <row r="5" spans="1:41" s="10" customFormat="1" ht="20.100000000000001" customHeight="1" x14ac:dyDescent="0.3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388</v>
      </c>
      <c r="AM5" s="95">
        <f t="shared" ref="AM5:AM18" si="9">Q5+AI5</f>
        <v>7</v>
      </c>
      <c r="AN5" s="11">
        <f t="shared" ref="AN5:AN18" si="10">IF(AL5=0," ",AL5/AM5)</f>
        <v>55.428571428571431</v>
      </c>
      <c r="AO5" s="12">
        <f t="shared" ref="AO5:AO18" si="11">IF(AL5=0," ",AL5/(AM5*T5)*100)</f>
        <v>93.946731234866832</v>
      </c>
    </row>
    <row r="6" spans="1:41" s="10" customFormat="1" ht="20.100000000000001" customHeight="1" x14ac:dyDescent="0.3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>
        <v>30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30</v>
      </c>
      <c r="AI6" s="11">
        <f t="shared" si="6"/>
        <v>1</v>
      </c>
      <c r="AJ6" s="12">
        <f t="shared" si="7"/>
        <v>30</v>
      </c>
      <c r="AK6" s="77"/>
      <c r="AL6" s="124">
        <f t="shared" si="8"/>
        <v>327</v>
      </c>
      <c r="AM6" s="95">
        <f t="shared" si="9"/>
        <v>10</v>
      </c>
      <c r="AN6" s="11">
        <f t="shared" si="10"/>
        <v>32.700000000000003</v>
      </c>
      <c r="AO6" s="12">
        <f t="shared" si="11"/>
        <v>130.80000000000001</v>
      </c>
    </row>
    <row r="7" spans="1:41" s="10" customFormat="1" ht="20.100000000000001" customHeight="1" x14ac:dyDescent="0.3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11">
        <f t="shared" si="10"/>
        <v>32.333333333333336</v>
      </c>
      <c r="AO7" s="12">
        <f t="shared" si="11"/>
        <v>104.3010752688172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>
        <v>38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38</v>
      </c>
      <c r="AI8" s="11">
        <f t="shared" si="6"/>
        <v>1</v>
      </c>
      <c r="AJ8" s="12">
        <f t="shared" si="7"/>
        <v>38</v>
      </c>
      <c r="AK8" s="77"/>
      <c r="AL8" s="124">
        <f t="shared" si="8"/>
        <v>334</v>
      </c>
      <c r="AM8" s="95">
        <f t="shared" si="9"/>
        <v>8</v>
      </c>
      <c r="AN8" s="11">
        <f t="shared" si="10"/>
        <v>41.75</v>
      </c>
      <c r="AO8" s="12">
        <f t="shared" si="11"/>
        <v>104.375</v>
      </c>
    </row>
    <row r="9" spans="1:41" s="10" customFormat="1" ht="20.100000000000001" customHeight="1" x14ac:dyDescent="0.3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121</v>
      </c>
      <c r="AM9" s="95">
        <f t="shared" si="9"/>
        <v>5</v>
      </c>
      <c r="AN9" s="11">
        <f t="shared" si="10"/>
        <v>24.2</v>
      </c>
      <c r="AO9" s="12">
        <f t="shared" si="11"/>
        <v>71.17647058823529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260</v>
      </c>
      <c r="AM10" s="95">
        <f t="shared" si="9"/>
        <v>8</v>
      </c>
      <c r="AN10" s="11">
        <f t="shared" si="10"/>
        <v>32.5</v>
      </c>
      <c r="AO10" s="12">
        <f t="shared" si="11"/>
        <v>92.857142857142861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11">
        <f t="shared" si="10"/>
        <v>12.375</v>
      </c>
      <c r="AO11" s="12">
        <f t="shared" si="11"/>
        <v>82.5</v>
      </c>
    </row>
    <row r="12" spans="1:41" s="10" customFormat="1" ht="20.100000000000001" customHeight="1" x14ac:dyDescent="0.3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>
        <v>26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26</v>
      </c>
      <c r="AI12" s="11">
        <f t="shared" si="6"/>
        <v>1</v>
      </c>
      <c r="AJ12" s="12">
        <f t="shared" si="7"/>
        <v>26</v>
      </c>
      <c r="AK12" s="77"/>
      <c r="AL12" s="124">
        <f t="shared" si="8"/>
        <v>319</v>
      </c>
      <c r="AM12" s="95">
        <f t="shared" si="9"/>
        <v>8</v>
      </c>
      <c r="AN12" s="11">
        <f t="shared" si="10"/>
        <v>39.875</v>
      </c>
      <c r="AO12" s="12">
        <f t="shared" si="11"/>
        <v>104.93421052631579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>
        <v>17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17</v>
      </c>
      <c r="AI13" s="11">
        <f t="shared" si="6"/>
        <v>1</v>
      </c>
      <c r="AJ13" s="12">
        <f t="shared" si="7"/>
        <v>17</v>
      </c>
      <c r="AK13" s="77"/>
      <c r="AL13" s="124">
        <f t="shared" si="8"/>
        <v>219</v>
      </c>
      <c r="AM13" s="95">
        <f t="shared" si="9"/>
        <v>9</v>
      </c>
      <c r="AN13" s="11">
        <f t="shared" si="10"/>
        <v>24.333333333333332</v>
      </c>
      <c r="AO13" s="12">
        <f t="shared" si="11"/>
        <v>101.38888888888889</v>
      </c>
    </row>
    <row r="14" spans="1:41" s="10" customFormat="1" ht="20.100000000000001" customHeight="1" x14ac:dyDescent="0.3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276">
        <v>15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66</v>
      </c>
      <c r="AM14" s="95">
        <f t="shared" si="9"/>
        <v>7</v>
      </c>
      <c r="AN14" s="11">
        <f t="shared" si="10"/>
        <v>9.4285714285714288</v>
      </c>
      <c r="AO14" s="12">
        <f t="shared" si="11"/>
        <v>62.857142857142854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153</v>
      </c>
      <c r="AI19" s="18">
        <f>SUM(AI4:AI18)</f>
        <v>6</v>
      </c>
      <c r="AJ19" s="23">
        <f>AH19/AI19</f>
        <v>25.5</v>
      </c>
      <c r="AK19" s="78"/>
      <c r="AL19" s="24">
        <f>SUM(AL4:AL18)</f>
        <v>2505</v>
      </c>
      <c r="AM19" s="18">
        <f>SUM(AM4:AM18)</f>
        <v>84</v>
      </c>
      <c r="AN19" s="18">
        <f t="shared" ref="AN19" si="16">AL19/AM19</f>
        <v>29.821428571428573</v>
      </c>
      <c r="AO19" s="20"/>
    </row>
  </sheetData>
  <mergeCells count="18"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showRowColHeaders="0" topLeftCell="A2" zoomScaleNormal="100" workbookViewId="0">
      <selection activeCell="T24" sqref="T24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1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33</v>
      </c>
      <c r="B2" s="307" t="s">
        <v>42</v>
      </c>
      <c r="C2" s="309" t="s">
        <v>166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299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298"/>
      <c r="AI3" s="300"/>
      <c r="AJ3" s="300"/>
      <c r="AK3" s="76"/>
      <c r="AL3" s="298"/>
      <c r="AM3" s="300"/>
      <c r="AN3" s="300"/>
      <c r="AO3" s="321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51</v>
      </c>
      <c r="AM4" s="123">
        <f t="shared" si="1"/>
        <v>4</v>
      </c>
      <c r="AN4" s="8">
        <f>IF(AL4=0," ",AL4/AM4)</f>
        <v>12.75</v>
      </c>
      <c r="AO4" s="94">
        <f>IF(AL4=0," ",AL4/(AM4*T4)*100)</f>
        <v>75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>
        <v>27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27</v>
      </c>
      <c r="AI5" s="11">
        <f t="shared" ref="AI5:AI18" si="7">COUNTIF(U5:AG5,"&gt;0")</f>
        <v>1</v>
      </c>
      <c r="AJ5" s="12">
        <f t="shared" ref="AJ5:AJ18" si="8">IF(AH5=0," ",AH5/AI5)</f>
        <v>27</v>
      </c>
      <c r="AK5" s="77"/>
      <c r="AL5" s="124">
        <f t="shared" ref="AL5:AL18" si="9">P5+AH5</f>
        <v>265</v>
      </c>
      <c r="AM5" s="95">
        <f t="shared" ref="AM5:AM18" si="10">Q5+AI5</f>
        <v>8</v>
      </c>
      <c r="AN5" s="11">
        <f t="shared" ref="AN5:AN18" si="11">IF(AL5=0," ",AL5/AM5)</f>
        <v>33.125</v>
      </c>
      <c r="AO5" s="12">
        <f t="shared" ref="AO5:AO18" si="12">IF(AL5=0," ",AL5/(AM5*T5)*100)</f>
        <v>87.171052631578945</v>
      </c>
    </row>
    <row r="6" spans="1:41" ht="20.100000000000001" customHeight="1" x14ac:dyDescent="0.3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276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>
        <v>28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28</v>
      </c>
      <c r="AI8" s="11">
        <f t="shared" si="7"/>
        <v>1</v>
      </c>
      <c r="AJ8" s="12">
        <f t="shared" si="8"/>
        <v>28</v>
      </c>
      <c r="AK8" s="77"/>
      <c r="AL8" s="124">
        <f t="shared" si="9"/>
        <v>250</v>
      </c>
      <c r="AM8" s="95">
        <f t="shared" si="10"/>
        <v>8</v>
      </c>
      <c r="AN8" s="11">
        <f t="shared" si="11"/>
        <v>31.25</v>
      </c>
      <c r="AO8" s="12">
        <f t="shared" si="12"/>
        <v>97.65625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101</v>
      </c>
      <c r="AM9" s="95">
        <f t="shared" si="10"/>
        <v>4</v>
      </c>
      <c r="AN9" s="11">
        <f t="shared" si="11"/>
        <v>25.25</v>
      </c>
      <c r="AO9" s="12">
        <f t="shared" si="12"/>
        <v>132.89473684210526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82</v>
      </c>
      <c r="AM10" s="95">
        <f t="shared" si="10"/>
        <v>4</v>
      </c>
      <c r="AN10" s="11">
        <f t="shared" si="11"/>
        <v>20.5</v>
      </c>
      <c r="AO10" s="12">
        <f t="shared" si="12"/>
        <v>97.61904761904762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197</v>
      </c>
      <c r="AM11" s="95">
        <f t="shared" si="10"/>
        <v>6</v>
      </c>
      <c r="AN11" s="11">
        <f t="shared" si="11"/>
        <v>32.833333333333336</v>
      </c>
      <c r="AO11" s="12">
        <f t="shared" si="12"/>
        <v>136.80555555555557</v>
      </c>
    </row>
    <row r="12" spans="1:41" ht="20.100000000000001" customHeight="1" x14ac:dyDescent="0.3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>
        <v>37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37</v>
      </c>
      <c r="AI12" s="11">
        <f t="shared" si="7"/>
        <v>1</v>
      </c>
      <c r="AJ12" s="12">
        <f t="shared" si="8"/>
        <v>37</v>
      </c>
      <c r="AK12" s="77"/>
      <c r="AL12" s="124">
        <f t="shared" si="9"/>
        <v>281</v>
      </c>
      <c r="AM12" s="95">
        <f t="shared" si="10"/>
        <v>8</v>
      </c>
      <c r="AN12" s="11">
        <f t="shared" si="11"/>
        <v>35.125</v>
      </c>
      <c r="AO12" s="12">
        <f t="shared" si="12"/>
        <v>92.43421052631578</v>
      </c>
    </row>
    <row r="13" spans="1:41" ht="20.100000000000001" customHeight="1" x14ac:dyDescent="0.3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579</v>
      </c>
      <c r="AM13" s="95">
        <f t="shared" si="10"/>
        <v>7</v>
      </c>
      <c r="AN13" s="11">
        <f t="shared" si="11"/>
        <v>82.714285714285708</v>
      </c>
      <c r="AO13" s="12">
        <f t="shared" si="12"/>
        <v>93.993506493506501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>
        <v>20</v>
      </c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20</v>
      </c>
      <c r="AI15" s="11">
        <f t="shared" si="7"/>
        <v>1</v>
      </c>
      <c r="AJ15" s="12">
        <f t="shared" si="8"/>
        <v>20</v>
      </c>
      <c r="AK15" s="77"/>
      <c r="AL15" s="124">
        <f t="shared" si="9"/>
        <v>211</v>
      </c>
      <c r="AM15" s="95">
        <f t="shared" si="10"/>
        <v>10</v>
      </c>
      <c r="AN15" s="11">
        <f t="shared" si="11"/>
        <v>21.1</v>
      </c>
      <c r="AO15" s="12">
        <f t="shared" si="12"/>
        <v>100.47619047619048</v>
      </c>
    </row>
    <row r="16" spans="1:41" ht="20.100000000000001" customHeight="1" x14ac:dyDescent="0.3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276">
        <v>15</v>
      </c>
      <c r="U16" s="163">
        <v>10</v>
      </c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10</v>
      </c>
      <c r="AI16" s="11">
        <f t="shared" si="7"/>
        <v>1</v>
      </c>
      <c r="AJ16" s="12">
        <f t="shared" si="8"/>
        <v>10</v>
      </c>
      <c r="AK16" s="77"/>
      <c r="AL16" s="124">
        <f t="shared" si="9"/>
        <v>60</v>
      </c>
      <c r="AM16" s="95">
        <f t="shared" si="10"/>
        <v>5</v>
      </c>
      <c r="AN16" s="11">
        <f t="shared" si="11"/>
        <v>12</v>
      </c>
      <c r="AO16" s="12">
        <f t="shared" si="12"/>
        <v>80</v>
      </c>
    </row>
    <row r="17" spans="1:41" ht="20.100000000000001" customHeight="1" x14ac:dyDescent="0.3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11" t="str">
        <f>IF(P17=0," ",P17/Q17)</f>
        <v xml:space="preserve"> </v>
      </c>
      <c r="S17" s="12" t="str">
        <f>IF(P17=0," ",P17/(Q17*T17)*100)</f>
        <v xml:space="preserve"> </v>
      </c>
      <c r="T17" s="131">
        <v>35</v>
      </c>
      <c r="U17" s="163">
        <v>28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28</v>
      </c>
      <c r="AI17" s="11">
        <f>COUNTIF(U17:AG17,"&gt;0")</f>
        <v>1</v>
      </c>
      <c r="AJ17" s="12">
        <f>IF(AH17=0," ",AH17/AI17)</f>
        <v>28</v>
      </c>
      <c r="AK17" s="77"/>
      <c r="AL17" s="124">
        <f>P17+AH17</f>
        <v>28</v>
      </c>
      <c r="AM17" s="95">
        <f>Q17+AI17</f>
        <v>1</v>
      </c>
      <c r="AN17" s="11">
        <f>IF(AL17=0," ",AL17/AM17)</f>
        <v>28</v>
      </c>
      <c r="AO17" s="12">
        <f>IF(AL17=0," ",AL17/(AM17*T17)*100)</f>
        <v>80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 t="shared" ref="C19:Q19" si="14">SUM(C4:C18)</f>
        <v>195</v>
      </c>
      <c r="D19" s="19">
        <f t="shared" si="14"/>
        <v>131</v>
      </c>
      <c r="E19" s="19">
        <f t="shared" si="14"/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 t="shared" si="14"/>
        <v>210</v>
      </c>
      <c r="P19" s="19">
        <f t="shared" si="14"/>
        <v>2701</v>
      </c>
      <c r="Q19" s="19">
        <f t="shared" si="14"/>
        <v>78</v>
      </c>
      <c r="R19" s="19">
        <f>P19/Q19</f>
        <v>34.628205128205131</v>
      </c>
      <c r="S19" s="22"/>
      <c r="T19" s="179">
        <f t="shared" ref="T19:AH19" si="15">SUM(T4:T18)</f>
        <v>451</v>
      </c>
      <c r="U19" s="21">
        <f t="shared" si="15"/>
        <v>150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150</v>
      </c>
      <c r="AI19" s="18">
        <f>SUM(AI4:AI15)</f>
        <v>4</v>
      </c>
      <c r="AJ19" s="23">
        <f>AH19/AI19</f>
        <v>37.5</v>
      </c>
      <c r="AK19" s="78"/>
      <c r="AL19" s="24">
        <f>SUM(AL4:AL18)</f>
        <v>2851</v>
      </c>
      <c r="AM19" s="18">
        <f>SUM(AM4:AM18)</f>
        <v>84</v>
      </c>
      <c r="AN19" s="18">
        <f t="shared" ref="AN19" si="16">AL19/AM19</f>
        <v>33.94047619047619</v>
      </c>
      <c r="AO19" s="20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110" zoomScaleNormal="110" workbookViewId="0">
      <selection activeCell="U5" sqref="U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1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34</v>
      </c>
      <c r="B2" s="307" t="s">
        <v>42</v>
      </c>
      <c r="C2" s="309" t="s">
        <v>76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110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>
        <v>52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52</v>
      </c>
      <c r="AI4" s="8">
        <f>COUNTIF(U4:AG4,"&gt;0")</f>
        <v>1</v>
      </c>
      <c r="AJ4" s="94">
        <f>IF(AH4=0," ",AH4/AI4)</f>
        <v>52</v>
      </c>
      <c r="AK4" s="77"/>
      <c r="AL4" s="122">
        <f t="shared" ref="AL4" si="1">P4+AH4</f>
        <v>152</v>
      </c>
      <c r="AM4" s="123">
        <f t="shared" ref="AM4" si="2">Q4+AI4</f>
        <v>3</v>
      </c>
      <c r="AN4" s="8">
        <f>IF(AL4=0," ",AL4/AM4)</f>
        <v>50.666666666666664</v>
      </c>
      <c r="AO4" s="94">
        <f>IF(AL4=0," ",AL4/(AM4*T4)*100)</f>
        <v>117.8294573643411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73">
        <v>30</v>
      </c>
      <c r="F5" s="164">
        <v>33</v>
      </c>
      <c r="G5" s="164"/>
      <c r="H5" s="272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>
        <v>20</v>
      </c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20</v>
      </c>
      <c r="AI5" s="11">
        <f t="shared" ref="AI5:AI18" si="8">COUNTIF(U5:AG5,"&gt;0")</f>
        <v>1</v>
      </c>
      <c r="AJ5" s="12">
        <f t="shared" ref="AJ5:AJ18" si="9">IF(AH5=0," ",AH5/AI5)</f>
        <v>20</v>
      </c>
      <c r="AK5" s="77"/>
      <c r="AL5" s="124">
        <f t="shared" ref="AL5:AL18" si="10">P5+AH5</f>
        <v>346</v>
      </c>
      <c r="AM5" s="95">
        <f t="shared" ref="AM5:AM18" si="11">Q5+AI5</f>
        <v>12</v>
      </c>
      <c r="AN5" s="11">
        <f t="shared" ref="AN5:AN18" si="12">IF(AL5=0," ",AL5/AM5)</f>
        <v>28.833333333333332</v>
      </c>
      <c r="AO5" s="12">
        <f t="shared" ref="AO5:AO18" si="13">IF(AL5=0," ",AL5/(AM5*T5)*100)</f>
        <v>102.97619047619047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73">
        <v>49</v>
      </c>
      <c r="E6" s="273">
        <v>18</v>
      </c>
      <c r="F6" s="164">
        <v>35</v>
      </c>
      <c r="G6" s="164">
        <v>51</v>
      </c>
      <c r="H6" s="272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>
        <v>26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26</v>
      </c>
      <c r="AI6" s="11">
        <f t="shared" si="8"/>
        <v>1</v>
      </c>
      <c r="AJ6" s="12">
        <f t="shared" si="9"/>
        <v>26</v>
      </c>
      <c r="AK6" s="77"/>
      <c r="AL6" s="124">
        <f t="shared" si="10"/>
        <v>468</v>
      </c>
      <c r="AM6" s="95">
        <f t="shared" si="11"/>
        <v>12</v>
      </c>
      <c r="AN6" s="11">
        <f t="shared" si="12"/>
        <v>39</v>
      </c>
      <c r="AO6" s="12">
        <f t="shared" si="13"/>
        <v>92.857142857142861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72">
        <v>65</v>
      </c>
      <c r="I7" s="272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>
        <v>28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28</v>
      </c>
      <c r="AI7" s="11">
        <f t="shared" si="8"/>
        <v>1</v>
      </c>
      <c r="AJ7" s="12">
        <f t="shared" si="9"/>
        <v>28</v>
      </c>
      <c r="AK7" s="77"/>
      <c r="AL7" s="124">
        <f t="shared" si="10"/>
        <v>624</v>
      </c>
      <c r="AM7" s="95">
        <f t="shared" si="11"/>
        <v>13</v>
      </c>
      <c r="AN7" s="11">
        <f t="shared" si="12"/>
        <v>48</v>
      </c>
      <c r="AO7" s="12">
        <f t="shared" si="13"/>
        <v>120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>
        <v>35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35</v>
      </c>
      <c r="AI8" s="11">
        <f t="shared" si="8"/>
        <v>1</v>
      </c>
      <c r="AJ8" s="12">
        <f t="shared" si="9"/>
        <v>35</v>
      </c>
      <c r="AK8" s="77"/>
      <c r="AL8" s="124">
        <f t="shared" si="10"/>
        <v>244</v>
      </c>
      <c r="AM8" s="95">
        <f t="shared" si="11"/>
        <v>6</v>
      </c>
      <c r="AN8" s="11">
        <f t="shared" si="12"/>
        <v>40.666666666666664</v>
      </c>
      <c r="AO8" s="12">
        <f t="shared" si="13"/>
        <v>127.08333333333333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276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3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72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276">
        <v>43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389</v>
      </c>
      <c r="AM11" s="95">
        <f t="shared" si="11"/>
        <v>9</v>
      </c>
      <c r="AN11" s="11">
        <f t="shared" si="12"/>
        <v>43.222222222222221</v>
      </c>
      <c r="AO11" s="12">
        <f t="shared" si="13"/>
        <v>100.51679586563307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73">
        <v>55</v>
      </c>
      <c r="F13" s="164"/>
      <c r="G13" s="164"/>
      <c r="H13" s="272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490</v>
      </c>
      <c r="AM13" s="95">
        <f t="shared" si="11"/>
        <v>10</v>
      </c>
      <c r="AN13" s="11">
        <f t="shared" si="12"/>
        <v>49</v>
      </c>
      <c r="AO13" s="12">
        <f t="shared" si="13"/>
        <v>108.88888888888889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73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>
        <v>25</v>
      </c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25</v>
      </c>
      <c r="AI14" s="11">
        <f t="shared" si="8"/>
        <v>1</v>
      </c>
      <c r="AJ14" s="12">
        <f t="shared" si="9"/>
        <v>25</v>
      </c>
      <c r="AK14" s="77"/>
      <c r="AL14" s="124">
        <f t="shared" si="10"/>
        <v>294</v>
      </c>
      <c r="AM14" s="95">
        <f t="shared" si="11"/>
        <v>9</v>
      </c>
      <c r="AN14" s="11">
        <f t="shared" si="12"/>
        <v>32.666666666666664</v>
      </c>
      <c r="AO14" s="12">
        <f t="shared" si="13"/>
        <v>93.333333333333329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73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176</v>
      </c>
      <c r="AM15" s="95">
        <f t="shared" si="11"/>
        <v>3</v>
      </c>
      <c r="AN15" s="11">
        <f t="shared" si="12"/>
        <v>58.666666666666664</v>
      </c>
      <c r="AO15" s="12">
        <f t="shared" si="13"/>
        <v>117.33333333333333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186</v>
      </c>
      <c r="AI19" s="18">
        <f>SUM(AI4:AI18)</f>
        <v>6</v>
      </c>
      <c r="AJ19" s="23">
        <f>AH19/AI19</f>
        <v>31</v>
      </c>
      <c r="AK19" s="78"/>
      <c r="AL19" s="24">
        <f>SUM(AL4:AL18)</f>
        <v>3713</v>
      </c>
      <c r="AM19" s="18">
        <f>SUM(AM4:AM18)</f>
        <v>84</v>
      </c>
      <c r="AN19" s="18">
        <f t="shared" ref="AN19" si="18">AL19/AM19</f>
        <v>44.202380952380949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topLeftCell="A2" zoomScale="145" zoomScaleNormal="145" workbookViewId="0">
      <selection activeCell="AA10" sqref="AA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01" t="s">
        <v>282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  <c r="U1" s="302"/>
      <c r="V1" s="302"/>
      <c r="W1" s="302"/>
      <c r="X1" s="302"/>
      <c r="Y1" s="302"/>
      <c r="Z1" s="302"/>
      <c r="AA1" s="302"/>
      <c r="AB1" s="302"/>
      <c r="AC1" s="302"/>
      <c r="AD1" s="302"/>
      <c r="AE1" s="302"/>
      <c r="AF1" s="302"/>
      <c r="AG1" s="302"/>
      <c r="AH1" s="302"/>
      <c r="AI1" s="302"/>
      <c r="AJ1" s="302"/>
      <c r="AK1" s="1"/>
      <c r="AL1" s="303" t="s">
        <v>41</v>
      </c>
      <c r="AM1" s="303"/>
      <c r="AN1" s="303"/>
      <c r="AO1" s="304"/>
    </row>
    <row r="2" spans="1:41" ht="121.5" customHeight="1" thickBot="1" x14ac:dyDescent="0.35">
      <c r="A2" s="305" t="s">
        <v>296</v>
      </c>
      <c r="B2" s="307" t="s">
        <v>42</v>
      </c>
      <c r="C2" s="309" t="s">
        <v>166</v>
      </c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1"/>
      <c r="P2" s="312" t="s">
        <v>44</v>
      </c>
      <c r="Q2" s="314" t="s">
        <v>45</v>
      </c>
      <c r="R2" s="314" t="s">
        <v>46</v>
      </c>
      <c r="S2" s="316" t="s">
        <v>283</v>
      </c>
      <c r="T2" s="318" t="s">
        <v>47</v>
      </c>
      <c r="U2" s="309" t="s">
        <v>128</v>
      </c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3"/>
      <c r="AH2" s="297" t="s">
        <v>44</v>
      </c>
      <c r="AI2" s="299" t="s">
        <v>45</v>
      </c>
      <c r="AJ2" s="320" t="s">
        <v>49</v>
      </c>
      <c r="AK2" s="75"/>
      <c r="AL2" s="297" t="s">
        <v>44</v>
      </c>
      <c r="AM2" s="299" t="s">
        <v>45</v>
      </c>
      <c r="AN2" s="299" t="s">
        <v>50</v>
      </c>
      <c r="AO2" s="320" t="s">
        <v>283</v>
      </c>
    </row>
    <row r="3" spans="1:41" ht="15" customHeight="1" thickBot="1" x14ac:dyDescent="0.35">
      <c r="A3" s="306"/>
      <c r="B3" s="30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13"/>
      <c r="Q3" s="315"/>
      <c r="R3" s="315"/>
      <c r="S3" s="317"/>
      <c r="T3" s="319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298"/>
      <c r="AI3" s="300"/>
      <c r="AJ3" s="321"/>
      <c r="AK3" s="76"/>
      <c r="AL3" s="298"/>
      <c r="AM3" s="300"/>
      <c r="AN3" s="300"/>
      <c r="AO3" s="321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201</v>
      </c>
      <c r="AM4" s="123">
        <f t="shared" si="1"/>
        <v>7</v>
      </c>
      <c r="AN4" s="8">
        <f>IF(AL4=0," ",AL4/AM4)</f>
        <v>28.714285714285715</v>
      </c>
      <c r="AO4" s="94">
        <f>IF(AL4=0," ",AL4/(AM4*T4)*100)</f>
        <v>99.01477832512316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307</v>
      </c>
      <c r="AM5" s="95">
        <f t="shared" si="1"/>
        <v>7</v>
      </c>
      <c r="AN5" s="11">
        <f t="shared" ref="AN5:AN18" si="8">IF(AL5=0," ",AL5/AM5)</f>
        <v>43.857142857142854</v>
      </c>
      <c r="AO5" s="12">
        <f t="shared" ref="AO5:AO18" si="9">IF(AL5=0," ",AL5/(AM5*T5)*100)</f>
        <v>121.82539682539681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>
        <v>44</v>
      </c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44</v>
      </c>
      <c r="AI6" s="11">
        <f t="shared" si="6"/>
        <v>1</v>
      </c>
      <c r="AJ6" s="12">
        <f t="shared" si="7"/>
        <v>44</v>
      </c>
      <c r="AK6" s="77"/>
      <c r="AL6" s="124">
        <f t="shared" si="1"/>
        <v>419</v>
      </c>
      <c r="AM6" s="95">
        <f t="shared" si="1"/>
        <v>10</v>
      </c>
      <c r="AN6" s="11">
        <f t="shared" si="8"/>
        <v>41.9</v>
      </c>
      <c r="AO6" s="12">
        <f t="shared" si="9"/>
        <v>91.086956521739125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251</v>
      </c>
      <c r="AM7" s="95">
        <f t="shared" si="1"/>
        <v>7</v>
      </c>
      <c r="AN7" s="11">
        <f t="shared" si="8"/>
        <v>35.857142857142854</v>
      </c>
      <c r="AO7" s="12">
        <f t="shared" si="9"/>
        <v>108.65800865800865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168</v>
      </c>
      <c r="AM8" s="95">
        <f t="shared" si="1"/>
        <v>9</v>
      </c>
      <c r="AN8" s="11">
        <f t="shared" si="8"/>
        <v>18.666666666666668</v>
      </c>
      <c r="AO8" s="12">
        <f t="shared" si="9"/>
        <v>77.777777777777786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11">
        <f t="shared" si="8"/>
        <v>21.777777777777779</v>
      </c>
      <c r="AO9" s="12">
        <f t="shared" si="9"/>
        <v>94.685990338164245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>
        <v>28</v>
      </c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28</v>
      </c>
      <c r="AI10" s="11">
        <f t="shared" si="6"/>
        <v>1</v>
      </c>
      <c r="AJ10" s="12">
        <f t="shared" si="7"/>
        <v>28</v>
      </c>
      <c r="AK10" s="77"/>
      <c r="AL10" s="124">
        <f t="shared" si="1"/>
        <v>273</v>
      </c>
      <c r="AM10" s="95">
        <f t="shared" si="1"/>
        <v>9</v>
      </c>
      <c r="AN10" s="11">
        <f t="shared" si="8"/>
        <v>30.333333333333332</v>
      </c>
      <c r="AO10" s="12">
        <f t="shared" si="9"/>
        <v>116.66666666666667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>
        <v>57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57</v>
      </c>
      <c r="AI11" s="11">
        <f t="shared" si="6"/>
        <v>1</v>
      </c>
      <c r="AJ11" s="12">
        <f t="shared" si="7"/>
        <v>57</v>
      </c>
      <c r="AK11" s="77"/>
      <c r="AL11" s="124">
        <f t="shared" si="1"/>
        <v>330</v>
      </c>
      <c r="AM11" s="95">
        <f t="shared" si="1"/>
        <v>8</v>
      </c>
      <c r="AN11" s="11">
        <f t="shared" si="8"/>
        <v>41.25</v>
      </c>
      <c r="AO11" s="12">
        <f t="shared" si="9"/>
        <v>93.75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>
        <v>18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18</v>
      </c>
      <c r="AI12" s="11">
        <f t="shared" si="6"/>
        <v>1</v>
      </c>
      <c r="AJ12" s="12">
        <f t="shared" si="7"/>
        <v>18</v>
      </c>
      <c r="AK12" s="77"/>
      <c r="AL12" s="124">
        <f t="shared" si="1"/>
        <v>263</v>
      </c>
      <c r="AM12" s="95">
        <f t="shared" si="1"/>
        <v>10</v>
      </c>
      <c r="AN12" s="11">
        <f t="shared" si="8"/>
        <v>26.3</v>
      </c>
      <c r="AO12" s="12">
        <f t="shared" si="9"/>
        <v>93.928571428571431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>
        <v>23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23</v>
      </c>
      <c r="AI13" s="11">
        <f t="shared" si="6"/>
        <v>1</v>
      </c>
      <c r="AJ13" s="12">
        <f t="shared" si="7"/>
        <v>23</v>
      </c>
      <c r="AK13" s="77"/>
      <c r="AL13" s="124">
        <f t="shared" si="1"/>
        <v>246</v>
      </c>
      <c r="AM13" s="95">
        <f t="shared" si="1"/>
        <v>8</v>
      </c>
      <c r="AN13" s="11">
        <f t="shared" si="8"/>
        <v>30.75</v>
      </c>
      <c r="AO13" s="12">
        <f t="shared" si="9"/>
        <v>90.441176470588232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195</v>
      </c>
      <c r="AI19" s="18">
        <f t="shared" si="12"/>
        <v>6</v>
      </c>
      <c r="AJ19" s="23">
        <f>AH19/AI19</f>
        <v>32.5</v>
      </c>
      <c r="AK19" s="78"/>
      <c r="AL19" s="24">
        <f>SUM(AL4:AL18)</f>
        <v>2654</v>
      </c>
      <c r="AM19" s="18">
        <f>SUM(AM4:AM18)</f>
        <v>84</v>
      </c>
      <c r="AN19" s="18">
        <f t="shared" ref="AN19" si="13">AL19/AM19</f>
        <v>31.595238095238095</v>
      </c>
      <c r="AO19" s="20"/>
    </row>
    <row r="24" spans="1:41" x14ac:dyDescent="0.3">
      <c r="A24"/>
    </row>
  </sheetData>
  <mergeCells count="18"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  <mergeCell ref="AM2:AM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S57" sqref="S57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7773437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305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63" t="str">
        <f>Meeuwen1!A14</f>
        <v>Vossen Ronny  [NS 20]</v>
      </c>
      <c r="I13" s="278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63" t="str">
        <f>Kerkuilen!A16</f>
        <v>Van Ginneken Cyriel [NS 20]</v>
      </c>
      <c r="F15" s="278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3" t="str">
        <f>Kerkuilen!A17</f>
        <v>Van Oers Danny  [NS 50]</v>
      </c>
      <c r="F16" s="278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63" t="str">
        <f>Meeuwen2!A12</f>
        <v>Present Marc [NS 20]</v>
      </c>
      <c r="C29" s="278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278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63" t="str">
        <f>Oudeglorie!A13</f>
        <v>Nelen Jef  [NS 25]</v>
      </c>
      <c r="F48" s="278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3" t="str">
        <f>Wildert1!A6</f>
        <v>Buijk Jan  [NS 55]</v>
      </c>
      <c r="I59" s="279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3" t="str">
        <f>Rooiebal2!A14</f>
        <v>Konings Kamiel [NS 20]</v>
      </c>
      <c r="C67" s="278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281" t="str">
        <f>Putte!A16</f>
        <v>Moerbeek Wilfried (ns)</v>
      </c>
      <c r="F69" s="173">
        <f>Putte!T16</f>
        <v>20</v>
      </c>
      <c r="G69" s="108"/>
      <c r="H69" s="263" t="str">
        <f>Wildert1!A16</f>
        <v xml:space="preserve">Wetzer Rik [NS 20] </v>
      </c>
      <c r="I69" s="279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7" t="str">
        <f>Wildert1!A17</f>
        <v>Seymus Eddy (ns)</v>
      </c>
      <c r="I70" s="175">
        <f>Wildert1!T17</f>
        <v>35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3" t="str">
        <f>Wildert2!A10</f>
        <v>Peeters Hugo [NS 36]</v>
      </c>
      <c r="C81" s="1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2" t="str">
        <f>Wildert2!A11</f>
        <v xml:space="preserve">Scholtis Vic  [NS 49] </v>
      </c>
      <c r="C82" s="1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N42" sqref="N42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32" t="s">
        <v>332</v>
      </c>
      <c r="D2" s="332"/>
      <c r="E2" s="332"/>
      <c r="F2" s="332"/>
      <c r="G2" s="332"/>
      <c r="H2" s="332"/>
      <c r="I2" s="332"/>
    </row>
    <row r="3" spans="1:26" s="59" customFormat="1" ht="20.100000000000001" customHeight="1" x14ac:dyDescent="0.4">
      <c r="A3"/>
      <c r="C3" s="333" t="s">
        <v>198</v>
      </c>
      <c r="D3" s="333"/>
      <c r="E3" s="333"/>
      <c r="F3" s="333"/>
      <c r="G3" s="333"/>
      <c r="H3" s="333"/>
      <c r="I3" s="333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32" t="s">
        <v>303</v>
      </c>
      <c r="C2" s="332"/>
      <c r="D2" s="332"/>
      <c r="E2" s="332"/>
      <c r="F2" s="332"/>
      <c r="G2" s="332"/>
      <c r="H2" s="332"/>
      <c r="J2" s="114"/>
    </row>
    <row r="3" spans="2:10" s="59" customFormat="1" ht="24.9" customHeight="1" x14ac:dyDescent="0.4">
      <c r="B3" s="332" t="s">
        <v>237</v>
      </c>
      <c r="C3" s="332"/>
      <c r="D3" s="332"/>
      <c r="E3" s="332"/>
      <c r="F3" s="332"/>
      <c r="G3" s="332"/>
      <c r="H3" s="332"/>
      <c r="J3" s="114"/>
    </row>
    <row r="4" spans="2:10" ht="12.9" customHeight="1" x14ac:dyDescent="0.3">
      <c r="J4" s="116" t="s">
        <v>238</v>
      </c>
    </row>
    <row r="6" spans="2:10" s="61" customFormat="1" ht="25.2" customHeight="1" x14ac:dyDescent="0.3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2" customHeight="1" x14ac:dyDescent="0.3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2" customHeight="1" x14ac:dyDescent="0.3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2" customHeight="1" x14ac:dyDescent="0.3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2" customHeight="1" x14ac:dyDescent="0.35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2" customHeight="1" x14ac:dyDescent="0.35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2" customHeight="1" x14ac:dyDescent="0.35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2" customHeight="1" x14ac:dyDescent="0.35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2" customHeight="1" x14ac:dyDescent="0.35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2" customHeight="1" x14ac:dyDescent="0.35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2" customHeight="1" x14ac:dyDescent="0.35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2" customHeight="1" x14ac:dyDescent="0.35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2" customHeight="1" x14ac:dyDescent="0.35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2" customHeight="1" x14ac:dyDescent="0.3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274</v>
      </c>
      <c r="D22" s="82" t="s">
        <v>275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2025-12-06T07:00:55Z</cp:lastPrinted>
  <dcterms:created xsi:type="dcterms:W3CDTF">2017-09-04T07:39:22Z</dcterms:created>
  <dcterms:modified xsi:type="dcterms:W3CDTF">2026-01-10T10:22:36Z</dcterms:modified>
  <cp:category/>
  <cp:contentStatus/>
</cp:coreProperties>
</file>