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D6DB3B29-46AC-43B9-A5B4-7B4F2A5C75CF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0" i="17" l="1"/>
  <c r="K156" i="17"/>
  <c r="H156" i="17"/>
  <c r="J189" i="17"/>
  <c r="H189" i="17"/>
  <c r="I19" i="9" l="1"/>
  <c r="H19" i="9"/>
  <c r="L9" i="18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P143" i="17"/>
  <c r="O143" i="17"/>
  <c r="N143" i="17"/>
  <c r="M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AD67" i="17" l="1"/>
  <c r="AC67" i="17"/>
  <c r="AB67" i="17"/>
  <c r="AA67" i="17"/>
  <c r="Z67" i="17"/>
  <c r="Y67" i="17"/>
  <c r="X67" i="17"/>
  <c r="W67" i="17"/>
  <c r="V67" i="17"/>
  <c r="U67" i="17"/>
  <c r="T67" i="17"/>
  <c r="S67" i="17"/>
  <c r="R67" i="17"/>
  <c r="Q67" i="17"/>
  <c r="P67" i="17"/>
  <c r="O67" i="17"/>
  <c r="N67" i="17"/>
  <c r="M67" i="17"/>
  <c r="F67" i="17"/>
  <c r="F55" i="17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L107" i="17"/>
  <c r="M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9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9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J62" i="17"/>
  <c r="K62" i="17"/>
  <c r="L62" i="17"/>
  <c r="M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O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L67" i="17" l="1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K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P142" i="17"/>
  <c r="L142" i="17"/>
  <c r="L143" i="17" s="1"/>
  <c r="F142" i="17"/>
  <c r="O142" i="17"/>
  <c r="E142" i="17"/>
  <c r="Q142" i="17"/>
  <c r="G142" i="17"/>
  <c r="H142" i="17"/>
  <c r="J142" i="17"/>
  <c r="J143" i="17" s="1"/>
  <c r="M142" i="17"/>
  <c r="A15" i="17"/>
  <c r="L17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L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O94" i="17"/>
  <c r="N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2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1" i="18" l="1"/>
  <c r="K36" i="17"/>
  <c r="L36" i="17" s="1"/>
  <c r="M36" i="17" s="1"/>
  <c r="N36" i="17" s="1"/>
  <c r="O36" i="17" s="1"/>
  <c r="P36" i="17" s="1"/>
  <c r="Q36" i="17" s="1"/>
  <c r="L20" i="18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R14" i="13" l="1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O12" i="7" s="1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AN10" i="13" s="1"/>
  <c r="R18" i="13"/>
  <c r="AM14" i="13"/>
  <c r="R9" i="13"/>
  <c r="AM9" i="13"/>
  <c r="AO9" i="13" s="1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AN16" i="23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3" i="3"/>
  <c r="AO13" i="3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O7" i="9" l="1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8" i="18" l="1"/>
  <c r="H19" i="18"/>
  <c r="F19" i="18"/>
  <c r="J19" i="18" s="1"/>
  <c r="F9" i="18"/>
  <c r="H9" i="18"/>
  <c r="M18" i="18"/>
  <c r="H15" i="18"/>
  <c r="F15" i="18"/>
  <c r="F8" i="18"/>
  <c r="H8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9" i="18" l="1"/>
  <c r="I9" i="18"/>
  <c r="J9" i="18"/>
  <c r="I15" i="18"/>
  <c r="J15" i="18"/>
  <c r="J8" i="18"/>
  <c r="I8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9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0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A9" i="18" s="1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4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L14" i="18" l="1"/>
  <c r="F54" i="19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A125" i="17" l="1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0" i="18" s="1"/>
  <c r="AJ19" i="23"/>
  <c r="AO4" i="23"/>
  <c r="AN4" i="23"/>
  <c r="R19" i="23"/>
  <c r="F10" i="18" l="1"/>
  <c r="H10" i="18"/>
  <c r="AN19" i="23"/>
  <c r="J19" i="6"/>
  <c r="I19" i="6"/>
  <c r="N19" i="15"/>
  <c r="M19" i="15"/>
  <c r="L19" i="15"/>
  <c r="K19" i="15"/>
  <c r="J19" i="15"/>
  <c r="I19" i="15"/>
  <c r="H19" i="15"/>
  <c r="G19" i="15"/>
  <c r="F19" i="15"/>
  <c r="E19" i="15"/>
  <c r="I10" i="18" l="1"/>
  <c r="J10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13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20" i="18"/>
  <c r="A8" i="18"/>
  <c r="A16" i="18"/>
  <c r="A19" i="18"/>
  <c r="A11" i="18"/>
  <c r="A21" i="18"/>
  <c r="F174" i="17"/>
  <c r="G174" i="17" s="1"/>
  <c r="H174" i="17" s="1"/>
  <c r="F81" i="17"/>
  <c r="K51" i="17" l="1"/>
  <c r="L51" i="17" s="1"/>
  <c r="L21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2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9" i="18" s="1"/>
  <c r="AI19" i="3"/>
  <c r="K81" i="17"/>
  <c r="P19" i="3"/>
  <c r="Q19" i="3"/>
  <c r="R19" i="13"/>
  <c r="AM19" i="13"/>
  <c r="C140" i="17"/>
  <c r="AL19" i="13"/>
  <c r="E17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20" i="18" s="1"/>
  <c r="AM19" i="10"/>
  <c r="AJ19" i="6"/>
  <c r="AM19" i="12"/>
  <c r="A83" i="17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3" i="18" s="1"/>
  <c r="C95" i="17"/>
  <c r="D13" i="18" s="1"/>
  <c r="R19" i="15"/>
  <c r="AO4" i="15"/>
  <c r="AM19" i="8"/>
  <c r="AL19" i="8"/>
  <c r="E12" i="18" s="1"/>
  <c r="C71" i="17"/>
  <c r="AL19" i="6"/>
  <c r="E16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16" i="18" l="1"/>
  <c r="H16" i="18"/>
  <c r="F12" i="18"/>
  <c r="H12" i="18"/>
  <c r="E9" i="18"/>
  <c r="E19" i="18"/>
  <c r="H20" i="18"/>
  <c r="F20" i="18"/>
  <c r="H17" i="18"/>
  <c r="F17" i="18"/>
  <c r="F21" i="18"/>
  <c r="H21" i="18"/>
  <c r="AS4" i="12"/>
  <c r="AT4" i="12"/>
  <c r="F13" i="18"/>
  <c r="H13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L16" i="18" s="1"/>
  <c r="AM19" i="3"/>
  <c r="C98" i="17"/>
  <c r="AL19" i="3"/>
  <c r="E14" i="18" s="1"/>
  <c r="C143" i="17"/>
  <c r="D11" i="18"/>
  <c r="AN19" i="7"/>
  <c r="AN19" i="13"/>
  <c r="AN19" i="12"/>
  <c r="D12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6" i="18" s="1"/>
  <c r="AI19" i="1"/>
  <c r="C4" i="17"/>
  <c r="E135" i="22" s="1"/>
  <c r="AL19" i="4"/>
  <c r="E18" i="18" s="1"/>
  <c r="D20" i="18"/>
  <c r="AN19" i="8"/>
  <c r="D10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16" i="18" l="1"/>
  <c r="I16" i="18"/>
  <c r="I12" i="18"/>
  <c r="J12" i="18"/>
  <c r="H14" i="18"/>
  <c r="F14" i="18"/>
  <c r="I20" i="18"/>
  <c r="J20" i="18"/>
  <c r="J17" i="18"/>
  <c r="I17" i="18"/>
  <c r="I11" i="18"/>
  <c r="J11" i="18"/>
  <c r="J13" i="18"/>
  <c r="I13" i="18"/>
  <c r="I21" i="18"/>
  <c r="J21" i="18"/>
  <c r="D21" i="18"/>
  <c r="H18" i="18"/>
  <c r="F18" i="18"/>
  <c r="E118" i="22"/>
  <c r="C17" i="17"/>
  <c r="M17" i="18" s="1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7" i="18"/>
  <c r="A15" i="18"/>
  <c r="M81" i="17"/>
  <c r="C113" i="17"/>
  <c r="M15" i="18" s="1"/>
  <c r="AN19" i="3"/>
  <c r="AN19" i="4"/>
  <c r="AJ19" i="1"/>
  <c r="AM19" i="1"/>
  <c r="P19" i="1"/>
  <c r="AL4" i="1"/>
  <c r="C146" i="17" s="1"/>
  <c r="C158" i="17" s="1"/>
  <c r="D15" i="18" s="1"/>
  <c r="Q19" i="1"/>
  <c r="M13" i="18" l="1"/>
  <c r="M11" i="18"/>
  <c r="I14" i="18"/>
  <c r="J14" i="18"/>
  <c r="E88" i="22"/>
  <c r="M20" i="18"/>
  <c r="M21" i="18"/>
  <c r="M12" i="18"/>
  <c r="M14" i="18"/>
  <c r="M16" i="18"/>
  <c r="J18" i="18"/>
  <c r="I18" i="18"/>
  <c r="D127" i="22"/>
  <c r="D71" i="22"/>
  <c r="D158" i="22"/>
  <c r="E207" i="22"/>
  <c r="D106" i="22"/>
  <c r="D128" i="22"/>
  <c r="E123" i="22"/>
  <c r="E157" i="22"/>
  <c r="E104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06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14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4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17" i="18"/>
  <c r="J174" i="17"/>
  <c r="K174" i="17" s="1"/>
  <c r="L174" i="17" s="1"/>
  <c r="M174" i="17" s="1"/>
  <c r="N174" i="17" s="1"/>
  <c r="O174" i="17" s="1"/>
  <c r="P174" i="17" s="1"/>
  <c r="Q174" i="17" s="1"/>
  <c r="R174" i="17" s="1"/>
  <c r="C171" i="17"/>
  <c r="D8" i="18"/>
  <c r="A163" i="17"/>
  <c r="C163" i="17"/>
  <c r="M9" i="18" s="1"/>
  <c r="K158" i="17" l="1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5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M19" i="18" s="1"/>
  <c r="O81" i="17"/>
  <c r="P81" i="17" s="1"/>
  <c r="Q81" i="17" s="1"/>
  <c r="S174" i="17"/>
  <c r="T174" i="17" s="1"/>
  <c r="U174" i="17" s="1"/>
  <c r="V174" i="17" s="1"/>
  <c r="A10" i="18"/>
  <c r="A13" i="18"/>
  <c r="L15" i="18" l="1"/>
  <c r="M10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<sst xmlns="http://schemas.openxmlformats.org/spreadsheetml/2006/main" count="1112" uniqueCount="373">
  <si>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</si>
  <si>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</si>
  <si>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</si>
  <si>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</si>
  <si>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</si>
  <si>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</si>
  <si>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</si>
  <si>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</si>
  <si>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</si>
  <si>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</si>
  <si>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</si>
  <si>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</si>
  <si>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</si>
  <si>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</si>
  <si>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</si>
  <si>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</si>
  <si>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</si>
  <si>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</si>
  <si>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</si>
  <si>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</si>
  <si>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</si>
  <si>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</si>
  <si>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</si>
  <si>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</si>
  <si>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</si>
  <si>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</si>
  <si>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</si>
  <si>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</si>
  <si>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</si>
  <si>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</si>
  <si>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</si>
  <si>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</si>
  <si>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</si>
  <si>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</si>
  <si>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</si>
  <si>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</si>
  <si>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</si>
  <si>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</si>
  <si>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</si>
  <si>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</si>
  <si>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</si>
  <si>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</si>
  <si>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</si>
  <si>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</si>
  <si>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</si>
  <si>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</si>
  <si>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</si>
  <si>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</si>
  <si>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</si>
  <si>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</si>
  <si>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</si>
  <si>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</si>
  <si>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</si>
  <si>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</si>
  <si>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</si>
  <si>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</si>
  <si>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</si>
  <si>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</si>
  <si>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</si>
  <si>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</si>
  <si>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</si>
  <si>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</si>
  <si>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</si>
  <si>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</si>
  <si>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</si>
  <si>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</si>
  <si>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</si>
  <si>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</si>
  <si>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</si>
  <si>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</si>
  <si>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</si>
  <si>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</si>
  <si>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</si>
  <si>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</si>
  <si>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</si>
  <si>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</si>
  <si>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</si>
  <si>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</si>
  <si>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</si>
  <si>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</si>
  <si>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</si>
  <si>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</si>
  <si>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</si>
  <si>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</si>
  <si>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</si>
  <si>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</si>
  <si>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</si>
  <si>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</si>
  <si>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</si>
  <si>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</si>
  <si>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</si>
  <si>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</si>
  <si>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</si>
  <si>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</si>
  <si>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</si>
  <si>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</si>
  <si>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</si>
  <si>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</si>
  <si>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</si>
  <si>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</si>
  <si>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</si>
  <si>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</si>
  <si>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</si>
  <si>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</si>
  <si>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</si>
  <si>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</si>
  <si>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</si>
  <si>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</si>
  <si>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</si>
  <si>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</si>
  <si>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</si>
  <si>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</si>
  <si>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</si>
  <si>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</si>
  <si>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</si>
  <si>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</si>
  <si>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</si>
  <si>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</si>
  <si>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</si>
  <si>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</si>
  <si>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</si>
  <si>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</si>
  <si>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</si>
  <si>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</si>
  <si>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</si>
  <si>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</si>
  <si>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</si>
  <si>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</si>
  <si>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</si>
  <si>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</si>
  <si>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</si>
  <si>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</si>
  <si>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</si>
  <si>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</si>
  <si>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</si>
  <si>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</si>
  <si>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</si>
  <si>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</si>
  <si>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</si>
  <si>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</si>
  <si>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</si>
  <si>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</si>
  <si>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</si>
  <si>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</si>
  <si>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</si>
  <si>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</si>
  <si>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</si>
  <si>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</si>
  <si>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</si>
  <si>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</si>
  <si>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</si>
  <si>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</si>
  <si>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</si>
  <si>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</si>
  <si>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</si>
  <si>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</si>
  <si>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</si>
  <si>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</si>
  <si>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</si>
  <si>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</si>
  <si>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</si>
  <si>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</si>
  <si>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</si>
  <si>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</si>
  <si>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</si>
  <si>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</si>
  <si>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</si>
  <si>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</si>
  <si>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</si>
  <si>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</si>
  <si>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</si>
  <si>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</si>
  <si>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</si>
  <si>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</si>
  <si>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</si>
  <si>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</si>
  <si>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</si>
  <si>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</si>
  <si>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</si>
  <si>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</si>
  <si>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</si>
  <si>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</si>
  <si>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</si>
  <si>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</si>
  <si>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</si>
  <si>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</si>
  <si>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</si>
  <si>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</si>
  <si>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</si>
  <si>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</si>
  <si>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</si>
  <si>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</si>
  <si>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</si>
  <si>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</si>
  <si>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</si>
  <si>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</si>
  <si>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</si>
  <si>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</si>
  <si>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</si>
  <si>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</si>
  <si>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</si>
  <si>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</si>
  <si>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</si>
  <si>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</si>
  <si>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</si>
  <si>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</si>
  <si>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</si>
  <si>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</si>
  <si>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</si>
  <si>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</si>
  <si>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</si>
  <si>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</si>
  <si>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</si>
  <si>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</si>
  <si>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</si>
  <si>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</si>
  <si>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</si>
  <si>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</si>
  <si>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</si>
  <si>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</si>
  <si>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</si>
  <si>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</si>
  <si>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</si>
  <si>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</si>
  <si>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</si>
  <si>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</si>
  <si>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</si>
  <si>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</si>
  <si>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</si>
  <si>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</si>
  <si>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</si>
  <si>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</si>
  <si>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</si>
  <si>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</si>
  <si>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</si>
  <si>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</si>
  <si>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</si>
  <si>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</si>
  <si>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</si>
  <si>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</si>
  <si>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</si>
  <si>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</si>
  <si>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</si>
  <si>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</si>
  <si>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</si>
  <si>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</si>
  <si>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</si>
  <si>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</si>
  <si>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</si>
  <si>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</si>
  <si>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</si>
  <si>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</si>
  <si>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</si>
  <si>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</si>
  <si>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</si>
  <si>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</si>
  <si>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</si>
  <si>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</si>
  <si>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</si>
  <si>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</si>
  <si>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</si>
  <si>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</si>
  <si>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</si>
  <si>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</si>
  <si>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</si>
  <si>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</si>
  <si>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</si>
  <si>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</si>
  <si>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</si>
  <si>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</si>
  <si>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</si>
  <si>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</si>
  <si>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</si>
  <si>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</si>
  <si>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</si>
  <si>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</si>
  <si>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</si>
  <si>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</si>
  <si>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</si>
  <si>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</si>
  <si>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</si>
  <si>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</si>
  <si>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</si>
  <si>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</si>
  <si>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</si>
  <si>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</si>
  <si>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</si>
  <si>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r>
      <t xml:space="preserve">Present Marc    </t>
    </r>
    <r>
      <rPr>
        <b/>
        <sz val="11"/>
        <color rgb="FFFF0000"/>
        <rFont val="Arial"/>
        <family val="2"/>
      </rPr>
      <t xml:space="preserve"> (ns)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</si>
  <si>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</si>
  <si>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</si>
  <si>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</si>
  <si>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</si>
  <si>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</si>
  <si>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</si>
  <si>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</si>
  <si>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</si>
  <si>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</si>
  <si>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</si>
  <si>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</si>
  <si>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</si>
  <si>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</si>
  <si>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</si>
  <si>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</si>
  <si>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</si>
  <si>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</si>
  <si>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</si>
  <si>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</si>
  <si>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</si>
  <si>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</si>
  <si>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</si>
  <si>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</si>
  <si>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</si>
  <si>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</si>
  <si>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</si>
  <si>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</si>
  <si>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</si>
  <si>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</si>
  <si>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</si>
  <si>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</si>
  <si>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</si>
  <si>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</si>
  <si>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</si>
  <si>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</si>
  <si>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</si>
  <si>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</si>
  <si>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</si>
  <si>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</si>
  <si>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</si>
  <si>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</si>
  <si>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</si>
  <si>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</si>
  <si>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</si>
  <si>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</si>
  <si>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</si>
  <si>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</si>
  <si>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r>
      <t xml:space="preserve">Nelen Jef </t>
    </r>
    <r>
      <rPr>
        <b/>
        <sz val="11"/>
        <color rgb="FFFF0000"/>
        <rFont val="Arial"/>
        <family val="2"/>
      </rPr>
      <t>(ns)</t>
    </r>
  </si>
  <si>
    <t>Senioren    NISPEN Gemeente</t>
  </si>
  <si>
    <t>Laatst gewijzigd</t>
  </si>
  <si>
    <t xml:space="preserve">Vergouwen René </t>
  </si>
  <si>
    <r>
      <t xml:space="preserve">Van Ginneken Cyriel  </t>
    </r>
    <r>
      <rPr>
        <b/>
        <sz val="11"/>
        <color rgb="FFFF0000"/>
        <rFont val="Arial"/>
        <family val="2"/>
      </rPr>
      <t>(ns)</t>
    </r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</si>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</sst>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7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0"/>
      <color rgb="FFFF33CC"/>
      <name val="Arial"/>
      <family val="2"/>
    </font>
    <font>
      <sz val="11"/>
      <color rgb="FFFF33CC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0"/>
      <color rgb="FF008000"/>
      <name val="Arial"/>
      <family val="2"/>
    </font>
    <font>
      <sz val="11"/>
      <color rgb="FF008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4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164" fontId="38" fillId="0" borderId="0" xfId="0" applyNumberFormat="1" applyFont="1"/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8" xfId="0" applyFont="1" applyBorder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4" fontId="52" fillId="0" borderId="0" xfId="0" applyNumberFormat="1" applyFont="1" applyAlignment="1">
      <alignment horizontal="right"/>
    </xf>
    <xf numFmtId="0" fontId="51" fillId="0" borderId="52" xfId="0" applyFont="1" applyBorder="1" applyAlignment="1" applyProtection="1">
      <alignment horizontal="center" vertical="center"/>
      <protection locked="0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6" fillId="0" borderId="26" xfId="0" applyNumberFormat="1" applyFont="1" applyBorder="1" applyAlignment="1">
      <alignment horizontal="center" vertical="center"/>
    </xf>
    <xf numFmtId="0" fontId="55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9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60" fillId="0" borderId="0" xfId="0" applyFont="1" applyAlignment="1">
      <alignment horizontal="center"/>
    </xf>
    <xf numFmtId="165" fontId="60" fillId="0" borderId="0" xfId="0" applyNumberFormat="1" applyFont="1"/>
    <xf numFmtId="16" fontId="60" fillId="0" borderId="0" xfId="0" applyNumberFormat="1" applyFont="1" applyAlignment="1">
      <alignment horizontal="center"/>
    </xf>
    <xf numFmtId="0" fontId="63" fillId="0" borderId="0" xfId="0" applyFont="1"/>
    <xf numFmtId="164" fontId="31" fillId="0" borderId="0" xfId="0" applyNumberFormat="1" applyFont="1" applyAlignment="1">
      <alignment horizontal="center"/>
    </xf>
    <xf numFmtId="165" fontId="60" fillId="0" borderId="0" xfId="0" applyNumberFormat="1" applyFont="1" applyAlignment="1">
      <alignment horizontal="right"/>
    </xf>
    <xf numFmtId="0" fontId="64" fillId="0" borderId="0" xfId="0" applyFont="1"/>
    <xf numFmtId="168" fontId="12" fillId="0" borderId="0" xfId="0" applyNumberFormat="1" applyFont="1"/>
    <xf numFmtId="0" fontId="65" fillId="0" borderId="0" xfId="0" applyFont="1"/>
    <xf numFmtId="168" fontId="13" fillId="0" borderId="0" xfId="0" applyNumberFormat="1" applyFont="1"/>
    <xf numFmtId="164" fontId="66" fillId="0" borderId="0" xfId="0" applyNumberFormat="1" applyFont="1"/>
    <xf numFmtId="0" fontId="66" fillId="0" borderId="0" xfId="0" applyFont="1"/>
    <xf numFmtId="0" fontId="67" fillId="0" borderId="0" xfId="0" applyFont="1"/>
    <xf numFmtId="0" fontId="68" fillId="0" borderId="0" xfId="0" applyFont="1"/>
    <xf numFmtId="0" fontId="69" fillId="0" borderId="0" xfId="0" applyFont="1"/>
    <xf numFmtId="0" fontId="69" fillId="0" borderId="0" xfId="0" applyFont="1" applyAlignment="1">
      <alignment horizontal="left"/>
    </xf>
    <xf numFmtId="0" fontId="70" fillId="0" borderId="0" xfId="0" applyFont="1"/>
    <xf numFmtId="164" fontId="69" fillId="0" borderId="0" xfId="0" applyNumberFormat="1" applyFont="1" applyAlignment="1">
      <alignment horizontal="center"/>
    </xf>
    <xf numFmtId="0" fontId="71" fillId="0" borderId="0" xfId="0" applyFont="1"/>
    <xf numFmtId="168" fontId="72" fillId="0" borderId="0" xfId="0" applyNumberFormat="1" applyFont="1"/>
    <xf numFmtId="1" fontId="69" fillId="0" borderId="0" xfId="0" applyNumberFormat="1" applyFont="1" applyAlignment="1">
      <alignment horizontal="center"/>
    </xf>
    <xf numFmtId="164" fontId="69" fillId="0" borderId="0" xfId="0" applyNumberFormat="1" applyFont="1"/>
    <xf numFmtId="0" fontId="72" fillId="0" borderId="0" xfId="0" applyFont="1"/>
    <xf numFmtId="0" fontId="73" fillId="0" borderId="0" xfId="0" applyFont="1" applyAlignment="1">
      <alignment horizontal="center" vertical="center" wrapText="1"/>
    </xf>
    <xf numFmtId="0" fontId="73" fillId="0" borderId="0" xfId="0" applyFont="1" applyAlignment="1">
      <alignment horizontal="center" vertical="center" wrapText="1" shrinkToFit="1"/>
    </xf>
    <xf numFmtId="0" fontId="74" fillId="0" borderId="0" xfId="0" applyFont="1" applyAlignment="1">
      <alignment horizontal="center" vertical="center" wrapText="1"/>
    </xf>
    <xf numFmtId="1" fontId="75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6" fillId="0" borderId="0" xfId="0" applyNumberFormat="1" applyFont="1"/>
    <xf numFmtId="1" fontId="66" fillId="0" borderId="0" xfId="0" applyNumberFormat="1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0" fontId="77" fillId="0" borderId="52" xfId="0" applyFont="1" applyBorder="1" applyAlignment="1" applyProtection="1">
      <alignment horizontal="center" vertical="center"/>
      <protection locked="0"/>
    </xf>
    <xf numFmtId="164" fontId="78" fillId="0" borderId="0" xfId="0" applyNumberFormat="1" applyFont="1" applyAlignment="1">
      <alignment horizontal="right"/>
    </xf>
    <xf numFmtId="164" fontId="26" fillId="0" borderId="0" xfId="0" applyNumberFormat="1" applyFont="1"/>
    <xf numFmtId="0" fontId="71" fillId="0" borderId="0" xfId="0" applyFont="1" applyAlignment="1">
      <alignment horizont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4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61" fillId="0" borderId="0" xfId="0" applyNumberFormat="1" applyFont="1" applyAlignment="1">
      <alignment horizontal="center"/>
    </xf>
    <xf numFmtId="0" fontId="6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FFFF99"/>
      <color rgb="FF0000CC"/>
      <color rgb="FFFF33CC"/>
      <color rgb="FF008000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15" zoomScaleNormal="115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3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78">
        <v>0</v>
      </c>
      <c r="B1" s="273" t="s">
        <v>306</v>
      </c>
      <c r="C1" s="274"/>
      <c r="D1" s="274"/>
    </row>
    <row r="2" spans="1:20" ht="17.25" customHeight="1" x14ac:dyDescent="0.3">
      <c r="A2" s="279"/>
      <c r="B2" s="274"/>
      <c r="C2" s="274"/>
      <c r="D2" s="274"/>
      <c r="E2" s="233" t="s">
        <v>337</v>
      </c>
    </row>
    <row r="3" spans="1:20" ht="21" customHeight="1" x14ac:dyDescent="0.35">
      <c r="B3" s="275" t="s">
        <v>0</v>
      </c>
      <c r="C3" s="275"/>
      <c r="D3" s="276"/>
      <c r="E3" s="268">
        <v>45960</v>
      </c>
    </row>
    <row r="4" spans="1:20" ht="16.2" customHeight="1" x14ac:dyDescent="0.5">
      <c r="B4" s="277" t="str">
        <f>IF(A8=26,"EINDSTAND", "TUSSENSTAND"  )</f>
        <v>TUSSENSTAND</v>
      </c>
      <c r="C4" s="277"/>
      <c r="D4" s="277"/>
      <c r="K4" s="46"/>
    </row>
    <row r="5" spans="1:20" ht="25.05" customHeight="1" thickBot="1" x14ac:dyDescent="0.55000000000000004">
      <c r="B5" s="277"/>
      <c r="C5" s="277"/>
      <c r="D5" s="277"/>
      <c r="E5" s="108"/>
      <c r="F5" s="108"/>
      <c r="G5" s="108"/>
      <c r="H5" s="108"/>
      <c r="I5" s="108"/>
      <c r="J5" s="108"/>
      <c r="K5" s="232"/>
      <c r="L5" s="259" t="s">
        <v>358</v>
      </c>
      <c r="M5" s="259" t="s">
        <v>359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30" t="s">
        <v>3</v>
      </c>
      <c r="E6" s="252" t="s">
        <v>353</v>
      </c>
      <c r="F6" s="272" t="s">
        <v>352</v>
      </c>
      <c r="G6" s="272"/>
      <c r="H6" s="272"/>
      <c r="I6" s="257" t="s">
        <v>356</v>
      </c>
      <c r="J6" s="258" t="s">
        <v>357</v>
      </c>
      <c r="K6" s="242"/>
      <c r="L6" s="260">
        <v>8</v>
      </c>
      <c r="M6" s="260">
        <v>8</v>
      </c>
      <c r="N6" s="242"/>
      <c r="O6" s="242"/>
      <c r="P6" s="242"/>
      <c r="Q6" s="242"/>
      <c r="R6" s="242"/>
      <c r="S6" s="240"/>
      <c r="T6" s="240"/>
    </row>
    <row r="7" spans="1:20" s="225" customFormat="1" ht="6.75" customHeight="1" x14ac:dyDescent="0.3">
      <c r="B7" s="226"/>
      <c r="E7" s="253"/>
      <c r="F7" s="253"/>
      <c r="G7" s="253"/>
      <c r="H7" s="253"/>
      <c r="I7" s="243"/>
      <c r="J7" s="243"/>
      <c r="K7" s="243"/>
      <c r="L7" s="243"/>
      <c r="M7" s="243" t="s">
        <v>371</v>
      </c>
      <c r="N7" s="243"/>
      <c r="O7" s="243"/>
      <c r="P7" s="243"/>
      <c r="Q7" s="243"/>
      <c r="R7" s="243"/>
      <c r="S7" s="241"/>
      <c r="T7" s="241"/>
    </row>
    <row r="8" spans="1:20" s="44" customFormat="1" ht="19.2" customHeight="1" x14ac:dyDescent="0.35">
      <c r="A8" s="220">
        <f>COUNTIF(Punten!$E$206:'Punten'!$AD$206,"&gt;0")</f>
        <v>8</v>
      </c>
      <c r="B8" s="221" t="s">
        <v>4</v>
      </c>
      <c r="C8" s="246" t="s">
        <v>8</v>
      </c>
      <c r="D8" s="238">
        <f>Punten!$C$207</f>
        <v>515.92999999999995</v>
      </c>
      <c r="E8" s="254">
        <f>Wildert2!$AL$19</f>
        <v>2083</v>
      </c>
      <c r="F8" s="244" t="str">
        <f>INDEX(Wildert2!$A$4:$A$18,MATCH(MAX(Wildert2!$AO$4:$AO$18),Wildert2!$AO$4:$AO$18,0))</f>
        <v>Van Den Bergh Jacky</v>
      </c>
      <c r="G8" s="248"/>
      <c r="H8" s="255">
        <f>MAX(Wildert2!$AO$4:$AO$18)</f>
        <v>131.1926605504587</v>
      </c>
      <c r="I8" s="263">
        <f>VLOOKUP($F8,Wildert2!$A$4:$AO$18,40,0)</f>
        <v>143</v>
      </c>
      <c r="J8" s="264">
        <f>VLOOKUP($F8,Wildert2!$A$4:$AO$18,39,0)</f>
        <v>1</v>
      </c>
      <c r="K8" s="245"/>
      <c r="L8" s="261">
        <f>VLOOKUP($C8,Punten!$D$4:$AD$222,1+$L$6,0)</f>
        <v>515.93000000000006</v>
      </c>
      <c r="M8" s="261">
        <f>VLOOKUP($C8,Punten!$C$4:$AD$222,2+$M$6,0)</f>
        <v>57.887</v>
      </c>
      <c r="N8" s="245"/>
      <c r="O8" s="245"/>
      <c r="P8" s="245"/>
      <c r="Q8" s="245"/>
      <c r="R8" s="245"/>
      <c r="S8" s="237"/>
      <c r="T8" s="237"/>
    </row>
    <row r="9" spans="1:20" s="44" customFormat="1" ht="20.100000000000001" customHeight="1" x14ac:dyDescent="0.35">
      <c r="A9" s="44">
        <f>COUNTIF(Punten!$E$173:'Punten'!$AD$173,"&gt;0")</f>
        <v>8</v>
      </c>
      <c r="B9" s="221" t="s">
        <v>4</v>
      </c>
      <c r="C9" s="246" t="s">
        <v>14</v>
      </c>
      <c r="D9" s="231">
        <f>Punten!$C$174</f>
        <v>503.37999999999994</v>
      </c>
      <c r="E9" s="254">
        <f>DeBeek!$AL$19</f>
        <v>1408</v>
      </c>
      <c r="F9" s="244" t="str">
        <f>INDEX(Putte!$A$4:$A$18,MATCH(MAX(Putte!$AO$4:$AO$18),Putte!$AO$4:$AO$18,0))</f>
        <v xml:space="preserve">Schaeken Pierre </v>
      </c>
      <c r="G9" s="248"/>
      <c r="H9" s="255">
        <f>MAX(Putte!$AO$4:$AO$18)</f>
        <v>148.33333333333334</v>
      </c>
      <c r="I9" s="263">
        <f>VLOOKUP($F9,Putte!$A$4:$AO$18,40,0)</f>
        <v>29.666666666666668</v>
      </c>
      <c r="J9" s="264">
        <f>VLOOKUP($F9,Putte!$A$4:$AO$18,39,0)</f>
        <v>3</v>
      </c>
      <c r="K9" s="245"/>
      <c r="L9" s="261">
        <f>VLOOKUP($C9,Punten!$D$4:$AD$222,1+$L$6,0)</f>
        <v>503.38000000000005</v>
      </c>
      <c r="M9" s="261">
        <f>VLOOKUP($C9,Punten!$C$4:$AD$222,2+$M$6,0)</f>
        <v>61.198999999999998</v>
      </c>
      <c r="N9" s="245"/>
      <c r="O9" s="245"/>
      <c r="P9" s="245"/>
      <c r="Q9" s="245"/>
      <c r="R9" s="245"/>
      <c r="S9" s="237"/>
      <c r="T9" s="237"/>
    </row>
    <row r="10" spans="1:20" s="44" customFormat="1" ht="20.100000000000001" customHeight="1" x14ac:dyDescent="0.35">
      <c r="A10" s="220">
        <f>COUNTIF(Punten!$E$190:'Punten'!$AD$190,"&gt;0")</f>
        <v>8</v>
      </c>
      <c r="B10" s="221" t="s">
        <v>4</v>
      </c>
      <c r="C10" s="247" t="s">
        <v>12</v>
      </c>
      <c r="D10" s="238">
        <f>Punten!$C$191</f>
        <v>502.12900000000002</v>
      </c>
      <c r="E10" s="254">
        <f>Wildert1!$AL$19</f>
        <v>1731</v>
      </c>
      <c r="F10" s="244" t="str">
        <f>INDEX(Wildert1!$A$4:$A$18,MATCH(MAX(Wildert1!$AO$4:$AO$18),Wildert1!$AO$4:$AO$18,0))</f>
        <v xml:space="preserve">Konings Guido </v>
      </c>
      <c r="G10" s="248"/>
      <c r="H10" s="255">
        <f>MAX(Wildert1!$AO$4:$AO$18)</f>
        <v>135.41666666666669</v>
      </c>
      <c r="I10" s="263">
        <f>VLOOKUP($F10,Wildert1!$A$4:$AO$18,40,0)</f>
        <v>32.5</v>
      </c>
      <c r="J10" s="264">
        <f>VLOOKUP($F10,Wildert1!$A$4:$AO$18,39,0)</f>
        <v>4</v>
      </c>
      <c r="K10" s="245"/>
      <c r="L10" s="261">
        <f>VLOOKUP($C10,Punten!$D$4:$AD$222,1+$L$6,0)</f>
        <v>502.12899999999996</v>
      </c>
      <c r="M10" s="261">
        <f>VLOOKUP($C10,Punten!$C$4:$AD$222,2+$M$6,0)</f>
        <v>70.790000000000006</v>
      </c>
      <c r="N10" s="245"/>
      <c r="O10" s="245"/>
      <c r="P10" s="245"/>
      <c r="Q10" s="245"/>
      <c r="R10" s="245"/>
      <c r="S10" s="237"/>
      <c r="T10" s="237"/>
    </row>
    <row r="11" spans="1:20" s="44" customFormat="1" ht="20.100000000000001" customHeight="1" x14ac:dyDescent="0.35">
      <c r="A11" s="248">
        <f>COUNTIF(Punten!$E$67:'Punten'!$AD$67,"&gt;0")</f>
        <v>8</v>
      </c>
      <c r="B11" s="249" t="s">
        <v>4</v>
      </c>
      <c r="C11" s="250" t="s">
        <v>13</v>
      </c>
      <c r="D11" s="251">
        <f>Punten!$C$68</f>
        <v>486.625</v>
      </c>
      <c r="E11" s="254">
        <f>Meeuwen2!$AL$19</f>
        <v>1747</v>
      </c>
      <c r="F11" s="244" t="str">
        <f>INDEX(Meeuwen2!$A$4:$A$18,MATCH(MAX(Meeuwen2!$AO$4:$AO$18),Meeuwen2!$AO$4:$AO$18,0))</f>
        <v>Lucassen Rini</v>
      </c>
      <c r="G11" s="256"/>
      <c r="H11" s="255">
        <f>MAX(Meeuwen2!$AO$4:$AO$18)</f>
        <v>120.68965517241379</v>
      </c>
      <c r="I11" s="263">
        <f>VLOOKUP($F11,Meeuwen2!$A$4:$AO$18,40,0)</f>
        <v>35</v>
      </c>
      <c r="J11" s="264">
        <f>VLOOKUP($F11,Meeuwen2!$A$4:$AO$18,39,0)</f>
        <v>2</v>
      </c>
      <c r="K11" s="245"/>
      <c r="L11" s="261">
        <f>VLOOKUP($C11,Punten!$D$4:$AD$222,1+$L$6,0)</f>
        <v>486.625</v>
      </c>
      <c r="M11" s="261">
        <f>VLOOKUP($C11,Punten!$C$4:$AD$222,2+$M$6,0)</f>
        <v>68.323999999999998</v>
      </c>
      <c r="N11" s="245"/>
      <c r="O11" s="245"/>
      <c r="P11" s="245"/>
      <c r="Q11" s="245"/>
      <c r="R11" s="245"/>
      <c r="S11" s="237"/>
      <c r="T11" s="237"/>
    </row>
    <row r="12" spans="1:20" s="44" customFormat="1" ht="20.100000000000001" customHeight="1" x14ac:dyDescent="0.35">
      <c r="A12" s="220">
        <f>COUNTIF(Punten!$E$128:'Punten'!$AD$128,"&gt;0")</f>
        <v>8</v>
      </c>
      <c r="B12" s="221" t="s">
        <v>4</v>
      </c>
      <c r="C12" s="246" t="s">
        <v>15</v>
      </c>
      <c r="D12" s="231">
        <f>Punten!$C$129</f>
        <v>480.56600000000003</v>
      </c>
      <c r="E12" s="254">
        <f>Meeuwkes!$AL$19</f>
        <v>1462.0001</v>
      </c>
      <c r="F12" s="244" t="str">
        <f>INDEX(Meeuwkes!$A$4:$A$18,MATCH(MAX(Meeuwkes!$AO$4:$AO$18),Meeuwkes!$AO$4:$AO$18,0))</f>
        <v>Bove René</v>
      </c>
      <c r="G12" s="248"/>
      <c r="H12" s="255">
        <f>MAX(Meeuwkes!$AO$4:$AO$18)</f>
        <v>146</v>
      </c>
      <c r="I12" s="263">
        <f>VLOOKUP($F12,Meeuwkes!$A$4:$AO$18,40,0)</f>
        <v>29.2</v>
      </c>
      <c r="J12" s="264">
        <f>VLOOKUP($F12,Meeuwkes!$A$4:$AO$18,39,0)</f>
        <v>5</v>
      </c>
      <c r="K12" s="245"/>
      <c r="L12" s="261">
        <f>VLOOKUP($C12,Punten!$D$4:$AD$222,1+$L$6,0)</f>
        <v>480.56599999999997</v>
      </c>
      <c r="M12" s="261">
        <f>VLOOKUP($C12,Punten!$C$4:$AD$222,2+$M$6,0)</f>
        <v>62.817999999999998</v>
      </c>
      <c r="N12" s="245"/>
      <c r="O12" s="245"/>
      <c r="P12" s="245"/>
      <c r="Q12" s="245"/>
      <c r="R12" s="245"/>
      <c r="S12" s="237"/>
      <c r="T12" s="237"/>
    </row>
    <row r="13" spans="1:20" s="44" customFormat="1" ht="20.100000000000001" customHeight="1" x14ac:dyDescent="0.35">
      <c r="A13" s="248">
        <f>COUNTIF(Punten!$E$94:'Punten'!$AD$94,"&gt;0")</f>
        <v>8</v>
      </c>
      <c r="B13" s="249" t="s">
        <v>4</v>
      </c>
      <c r="C13" s="250" t="s">
        <v>292</v>
      </c>
      <c r="D13" s="251">
        <f>Punten!$C$95</f>
        <v>476.96300000000002</v>
      </c>
      <c r="E13" s="254">
        <f>Nispen!$AL$19</f>
        <v>1515</v>
      </c>
      <c r="F13" s="244" t="str">
        <f>INDEX(Nispen!$A$4:$A$18,MATCH(MAX(Nispen!$AO$4:$AO$18),Nispen!$AO$4:$AO$18,0))</f>
        <v>Cappaert Ivan</v>
      </c>
      <c r="G13" s="248"/>
      <c r="H13" s="255">
        <f>MAX(Nispen!$AO$4:$AO$18)</f>
        <v>116.1904761904762</v>
      </c>
      <c r="I13" s="263">
        <f>VLOOKUP($F13,Nispen!$A$4:$AO$18,40,0)</f>
        <v>40.666666666666664</v>
      </c>
      <c r="J13" s="264">
        <f>VLOOKUP($F13,Nispen!$A$4:$AO$18,39,0)</f>
        <v>3</v>
      </c>
      <c r="K13" s="245"/>
      <c r="L13" s="261">
        <f>VLOOKUP($C13,Punten!$D$4:$AD$222,1+$L$6,0)</f>
        <v>476.96299999999997</v>
      </c>
      <c r="M13" s="261">
        <f>VLOOKUP($C13,Punten!$C$4:$AD$222,2+$M$6,0)</f>
        <v>53.39</v>
      </c>
      <c r="N13" s="245"/>
      <c r="O13" s="245"/>
      <c r="P13" s="245"/>
      <c r="Q13" s="245"/>
      <c r="R13" s="245"/>
      <c r="S13" s="237"/>
      <c r="T13" s="237"/>
    </row>
    <row r="14" spans="1:20" s="44" customFormat="1" ht="20.100000000000001" customHeight="1" x14ac:dyDescent="0.35">
      <c r="A14" s="220">
        <f>COUNTIF(Punten!E112:'Punten'!AD112,"&gt;0")</f>
        <v>8</v>
      </c>
      <c r="B14" s="221" t="s">
        <v>4</v>
      </c>
      <c r="C14" s="246" t="s">
        <v>5</v>
      </c>
      <c r="D14" s="231">
        <f>Punten!$C$113</f>
        <v>474.78900000000004</v>
      </c>
      <c r="E14" s="254">
        <f>Oudeglorie!$AL$19</f>
        <v>1536</v>
      </c>
      <c r="F14" s="244" t="str">
        <f>INDEX(Oudeglorie!$A$4:$A$18,MATCH(MAX(Oudeglorie!$AO$4:$AO$18),Oudeglorie!$AO$4:$AO$18,0))</f>
        <v>Willemsen Willy</v>
      </c>
      <c r="G14" s="248"/>
      <c r="H14" s="255">
        <f>MAX(Oudeglorie!$AO$4:$AO$18)</f>
        <v>120.94594594594594</v>
      </c>
      <c r="I14" s="263">
        <f>VLOOKUP($F14,Oudeglorie!$A$4:$AO$18,40,0)</f>
        <v>44.75</v>
      </c>
      <c r="J14" s="264">
        <f>VLOOKUP($F14,Oudeglorie!$A$4:$AO$18,39,0)</f>
        <v>4</v>
      </c>
      <c r="K14" s="245"/>
      <c r="L14" s="261">
        <f>VLOOKUP($C14,Punten!$D$4:$AD$222,1+$L$6,0)</f>
        <v>474.78899999999999</v>
      </c>
      <c r="M14" s="261">
        <f>VLOOKUP($C14,Punten!$C$4:$AD$222,2+$M$6,0)</f>
        <v>56.466000000000001</v>
      </c>
      <c r="N14" s="245"/>
      <c r="O14" s="245"/>
      <c r="P14" s="245"/>
      <c r="Q14" s="245"/>
      <c r="R14" s="245"/>
      <c r="S14" s="237"/>
      <c r="T14" s="237"/>
    </row>
    <row r="15" spans="1:20" s="44" customFormat="1" ht="20.100000000000001" customHeight="1" x14ac:dyDescent="0.35">
      <c r="A15" s="248">
        <f>COUNTIF(Punten!$E$157:'Punten'!$AD$157,"&gt;0")</f>
        <v>8</v>
      </c>
      <c r="B15" s="249" t="s">
        <v>4</v>
      </c>
      <c r="C15" s="250" t="s">
        <v>9</v>
      </c>
      <c r="D15" s="251">
        <f>Punten!$C$158</f>
        <v>464.98199999999997</v>
      </c>
      <c r="E15" s="254">
        <f>Rooiebal2!$AL$19</f>
        <v>1436</v>
      </c>
      <c r="F15" s="244" t="str">
        <f>INDEX(Rooiebal2!$A$4:$A$18,MATCH(MAX(Rooiebal2!$AO$4:$AO$18),Rooiebal2!$AO$4:$AO$18,0))</f>
        <v xml:space="preserve">Donckers Johnny </v>
      </c>
      <c r="G15" s="248"/>
      <c r="H15" s="255">
        <f>MAX(Rooiebal2!$AO$4:$AO$18)</f>
        <v>123.33333333333334</v>
      </c>
      <c r="I15" s="263">
        <f>VLOOKUP($F15,Rooiebal2!$A$4:$AO$18,40,0)</f>
        <v>30.833333333333332</v>
      </c>
      <c r="J15" s="264">
        <f>VLOOKUP($F15,Rooiebal2!$A$4:$AO$18,39,0)</f>
        <v>6</v>
      </c>
      <c r="K15" s="245"/>
      <c r="L15" s="261">
        <f>VLOOKUP($C15,Punten!$D$4:$AD$222,1+$L$6,0)</f>
        <v>464.98200000000003</v>
      </c>
      <c r="M15" s="261">
        <f>VLOOKUP($C15,Punten!$C$4:$AD$222,2+$M$6,0)</f>
        <v>50.805999999999997</v>
      </c>
      <c r="N15" s="245"/>
      <c r="O15" s="245"/>
      <c r="P15" s="245"/>
      <c r="Q15" s="245"/>
      <c r="R15" s="245"/>
      <c r="S15" s="237"/>
      <c r="T15" s="237"/>
    </row>
    <row r="16" spans="1:20" s="44" customFormat="1" ht="20.100000000000001" customHeight="1" x14ac:dyDescent="0.35">
      <c r="A16" s="220">
        <f>COUNTIF(Punten!$E$80:'Punten'!$AD$80,"&gt;0")</f>
        <v>8</v>
      </c>
      <c r="B16" s="221" t="s">
        <v>4</v>
      </c>
      <c r="C16" s="246" t="s">
        <v>11</v>
      </c>
      <c r="D16" s="231">
        <f>Punten!$C$81</f>
        <v>460.35599999999999</v>
      </c>
      <c r="E16" s="254">
        <f>Molenheike!$AL$19</f>
        <v>1737</v>
      </c>
      <c r="F16" s="244" t="str">
        <f>INDEX(Molenheike!$A$4:$A$18,MATCH(MAX(Molenheike!$AO$4:$AO$18),Molenheike!$AO$4:$AO$18,0))</f>
        <v>Keuppens Marc</v>
      </c>
      <c r="G16" s="248"/>
      <c r="H16" s="255">
        <f>MAX(Molenheike!$AO$4:$AO$18)</f>
        <v>118.33333333333333</v>
      </c>
      <c r="I16" s="263">
        <f>VLOOKUP($F16,Molenheike!$A$4:$AO$18,40,0)</f>
        <v>35.5</v>
      </c>
      <c r="J16" s="264">
        <f>VLOOKUP($F16,Molenheike!$A$4:$AO$18,39,0)</f>
        <v>6</v>
      </c>
      <c r="K16" s="245"/>
      <c r="L16" s="261">
        <f>VLOOKUP($C16,Punten!$D$4:$AD$222,1+$L$6,0)</f>
        <v>460.35599999999999</v>
      </c>
      <c r="M16" s="261">
        <f>VLOOKUP($C16,Punten!$C$4:$AD$222,2+$M$6,0)</f>
        <v>60.869000000000007</v>
      </c>
      <c r="N16" s="245"/>
      <c r="O16" s="245"/>
      <c r="P16" s="245"/>
      <c r="Q16" s="245"/>
      <c r="R16" s="245" t="s">
        <v>372</v>
      </c>
      <c r="S16" s="237"/>
      <c r="T16" s="237"/>
    </row>
    <row r="17" spans="1:20" s="44" customFormat="1" ht="20.100000000000001" customHeight="1" x14ac:dyDescent="0.35">
      <c r="A17" s="248">
        <f>COUNTIF(Punten!$E$142:'Punten'!$AD$142,"&gt;0")</f>
        <v>8</v>
      </c>
      <c r="B17" s="249" t="s">
        <v>4</v>
      </c>
      <c r="C17" s="247" t="s">
        <v>7</v>
      </c>
      <c r="D17" s="251">
        <f>Punten!$C$143</f>
        <v>457.53899999999999</v>
      </c>
      <c r="E17" s="254">
        <f>Rooiebal1!$AL$19</f>
        <v>1349</v>
      </c>
      <c r="F17" s="244" t="str">
        <f>INDEX(Rooiebal1!$A$4:$A$18,MATCH(MAX(Rooiebal1!$AO$4:$AO$18),Rooiebal1!$AO$4:$AO$18,0))</f>
        <v xml:space="preserve">Raeymakers Pierre </v>
      </c>
      <c r="G17" s="248"/>
      <c r="H17" s="255">
        <f>MAX(Rooiebal1!$AO$4:$AO$18)</f>
        <v>143.47826086956522</v>
      </c>
      <c r="I17" s="263">
        <f>VLOOKUP($F17,Rooiebal1!$A$4:$AO$18,40,0)</f>
        <v>33</v>
      </c>
      <c r="J17" s="264">
        <f>VLOOKUP($F17,Rooiebal1!$A$4:$AO$18,39,0)</f>
        <v>2</v>
      </c>
      <c r="K17" s="245"/>
      <c r="L17" s="261">
        <f>VLOOKUP($C17,Punten!$D$4:$AD$222,1+$L$6,0)</f>
        <v>457.53899999999999</v>
      </c>
      <c r="M17" s="261">
        <f>VLOOKUP($C17,Punten!$C$4:$AD$222,2+$M$6,0)</f>
        <v>56.524999999999999</v>
      </c>
      <c r="N17" s="245"/>
      <c r="O17" s="245"/>
      <c r="P17" s="245"/>
      <c r="Q17" s="245"/>
      <c r="R17" s="245"/>
      <c r="S17" s="237"/>
      <c r="T17" s="237"/>
    </row>
    <row r="18" spans="1:20" s="44" customFormat="1" ht="20.100000000000001" customHeight="1" x14ac:dyDescent="0.35">
      <c r="A18" s="220">
        <f>COUNTIF(Punten!$E$16:'Punten'!$AD$16,"&gt;0")</f>
        <v>8</v>
      </c>
      <c r="B18" s="221" t="s">
        <v>4</v>
      </c>
      <c r="C18" s="247" t="s">
        <v>6</v>
      </c>
      <c r="D18" s="231">
        <f>Punten!$C$17</f>
        <v>457.06099999999992</v>
      </c>
      <c r="E18" s="254">
        <f>Horendonk!$AL$19</f>
        <v>1264</v>
      </c>
      <c r="F18" s="244" t="str">
        <f>INDEX(Horendonk!$A$4:$A$18,MATCH(MAX(Horendonk!$AO$4:$AO$18),Horendonk!$AO$4:$AO$18,0))</f>
        <v>Veraart Jef     (ns)</v>
      </c>
      <c r="G18" s="248"/>
      <c r="H18" s="255">
        <f>MAX(Horendonk!$AO$4:$AO$18)</f>
        <v>122.22222222222223</v>
      </c>
      <c r="I18" s="263">
        <f>VLOOKUP($F18,Horendonk!$A$4:$AO$18,40,0)</f>
        <v>33</v>
      </c>
      <c r="J18" s="264">
        <f>VLOOKUP($F18,Horendonk!$A$4:$AO$18,39,0)</f>
        <v>2</v>
      </c>
      <c r="K18" s="245"/>
      <c r="L18" s="261">
        <f>VLOOKUP($C18,Punten!$D$4:$AD$222,1+$L$6,0)</f>
        <v>457.06100000000004</v>
      </c>
      <c r="M18" s="261">
        <f>VLOOKUP($C18,Punten!$C$4:$AD$222,2+$M$6,0)</f>
        <v>60.735999999999997</v>
      </c>
      <c r="N18" s="245"/>
      <c r="O18" s="245"/>
      <c r="P18" s="245"/>
      <c r="Q18" s="245"/>
      <c r="R18" s="245"/>
      <c r="S18" s="237"/>
      <c r="T18" s="237"/>
    </row>
    <row r="19" spans="1:20" s="44" customFormat="1" ht="20.100000000000001" customHeight="1" x14ac:dyDescent="0.35">
      <c r="A19" s="220">
        <f>COUNTIF(Punten!$E$221:'Punten'!$AD$221,"&gt;0")</f>
        <v>8</v>
      </c>
      <c r="B19" s="221" t="s">
        <v>4</v>
      </c>
      <c r="C19" s="246" t="s">
        <v>293</v>
      </c>
      <c r="D19" s="231">
        <f>Punten!$C$222</f>
        <v>452.36599999999999</v>
      </c>
      <c r="E19" s="254">
        <f>DeBeek!$AL$19</f>
        <v>1408</v>
      </c>
      <c r="F19" s="244" t="str">
        <f>INDEX(DeBeek!$A$4:$A$18,MATCH(MAX(DeBeek!$AO$4:$AO$18),DeBeek!$AO$4:$AO$18,0))</f>
        <v>Beyers Armand</v>
      </c>
      <c r="G19" s="248"/>
      <c r="H19" s="255">
        <f>MAX(DeBeek!$AO$4:$AO$18)</f>
        <v>128.47222222222223</v>
      </c>
      <c r="I19" s="263">
        <f>VLOOKUP($F19,DeBeek!$A$4:$AO$18,40,0)</f>
        <v>46.25</v>
      </c>
      <c r="J19" s="264">
        <f>VLOOKUP($F19,DeBeek!$A$4:$AO$18,39,0)</f>
        <v>4</v>
      </c>
      <c r="K19" s="245"/>
      <c r="L19" s="261">
        <f>VLOOKUP($C19,Punten!$D$4:$AD$222,1+$L$6,0)</f>
        <v>452.36599999999999</v>
      </c>
      <c r="M19" s="261">
        <f>VLOOKUP($C19,Punten!$C$4:$AD$222,2+$M$6,0)</f>
        <v>46.456000000000003</v>
      </c>
      <c r="N19" s="245"/>
      <c r="O19" s="245"/>
      <c r="P19" s="245"/>
      <c r="Q19" s="245"/>
      <c r="R19" s="245"/>
      <c r="S19" s="237"/>
      <c r="T19" s="237"/>
    </row>
    <row r="20" spans="1:20" s="44" customFormat="1" ht="20.100000000000001" customHeight="1" x14ac:dyDescent="0.35">
      <c r="A20" s="248">
        <f>COUNTIF(Punten!$E$35:'Punten'!$AD$35,"&gt;0")</f>
        <v>8</v>
      </c>
      <c r="B20" s="249" t="s">
        <v>4</v>
      </c>
      <c r="C20" s="247" t="s">
        <v>10</v>
      </c>
      <c r="D20" s="251">
        <f>Punten!$C$36</f>
        <v>439.92100000000005</v>
      </c>
      <c r="E20" s="254">
        <f>Kerkuilen!$AL$19</f>
        <v>2015</v>
      </c>
      <c r="F20" s="244" t="str">
        <f>INDEX(Kerkuilen!$A$4:$A$18,MATCH(MAX(Kerkuilen!$AO$4:$AO$18),Kerkuilen!$AO$4:$AO$18,0))</f>
        <v>Van Oers John</v>
      </c>
      <c r="G20" s="248"/>
      <c r="H20" s="255">
        <f>MAX(Kerkuilen!$AO$4:$AO$18)</f>
        <v>135.48387096774192</v>
      </c>
      <c r="I20" s="263">
        <f>VLOOKUP($F20,Kerkuilen!$A$4:$AO$18,40,0)</f>
        <v>42</v>
      </c>
      <c r="J20" s="264">
        <f>VLOOKUP($F20,Kerkuilen!$A$4:$AO$18,39,0)</f>
        <v>1</v>
      </c>
      <c r="K20" s="245"/>
      <c r="L20" s="261">
        <f>VLOOKUP($C20,Punten!$D$4:$AD$222,1+$L$6,0)</f>
        <v>439.92099999999994</v>
      </c>
      <c r="M20" s="261">
        <f>VLOOKUP($C20,Punten!$C$4:$AD$222,2+$M$6,0)</f>
        <v>63.644000000000005</v>
      </c>
      <c r="N20" s="245"/>
      <c r="O20" s="245"/>
      <c r="P20" s="245"/>
      <c r="Q20" s="245"/>
      <c r="R20" s="245"/>
      <c r="S20" s="237"/>
      <c r="T20" s="237"/>
    </row>
    <row r="21" spans="1:20" ht="19.95" customHeight="1" x14ac:dyDescent="0.35">
      <c r="A21" s="248">
        <f>COUNTIF(Punten!$E$50:'Punten'!$AD$50,"&gt;0")</f>
        <v>8</v>
      </c>
      <c r="B21" s="249" t="s">
        <v>4</v>
      </c>
      <c r="C21" s="247" t="s">
        <v>16</v>
      </c>
      <c r="D21" s="251">
        <f>Punten!$C$51</f>
        <v>388.30900000000003</v>
      </c>
      <c r="E21" s="254">
        <f>Meeuwen1!$AL$19</f>
        <v>1001</v>
      </c>
      <c r="F21" s="244" t="str">
        <f>INDEX(Meeuwen1!$A$4:$A$18,MATCH(MAX(Meeuwen1!$AO$4:$AO$18),Meeuwen1!$AO$4:$AO$18,0))</f>
        <v xml:space="preserve">Bocken Lambert  </v>
      </c>
      <c r="G21" s="248"/>
      <c r="H21" s="255">
        <f>MAX(Meeuwen1!$AO$4:$AO$18)</f>
        <v>106.25</v>
      </c>
      <c r="I21" s="263">
        <f>VLOOKUP($F21,Meeuwen1!$A$4:$AO$18,40,0)</f>
        <v>29.75</v>
      </c>
      <c r="J21" s="264">
        <f>VLOOKUP($F21,Meeuwen1!$A$4:$AO$18,39,0)</f>
        <v>4</v>
      </c>
      <c r="K21" s="35"/>
      <c r="L21" s="261">
        <f>VLOOKUP($C21,Punten!$D$4:$AD$222,1+$L$6,0)</f>
        <v>388.30899999999997</v>
      </c>
      <c r="M21" s="261">
        <f>VLOOKUP($C21,Punten!$C$4:$AD$222,2+$M$6,0)</f>
        <v>43.688000000000002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291</v>
      </c>
    </row>
  </sheetData>
  <sheetProtection algorithmName="SHA-512" hashValue="Z+0OOYESE2gLBiE+IQnk0yoHJqYj9HLO4ouLpIWYGRkJEl6g/tyHjNpxFhd0F/NKrLAWRHStVF7gN6hOFd81yQ==" saltValue="MBkDC0yvRdI3IJYqoMOQeg==" spinCount="100000" sheet="1" objects="1" scenarios="1"/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topLeftCell="A50" zoomScale="107" zoomScaleNormal="100" workbookViewId="0">
      <selection activeCell="I32" sqref="I32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3</v>
      </c>
      <c r="B4" s="28" t="str">
        <f>Horendonk!A4</f>
        <v>Ansems Ferre</v>
      </c>
      <c r="C4" s="32">
        <f>IF(Horendonk!AL4=0," ",SUM(E4:AD4))</f>
        <v>36.314999999999998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 t="str">
        <f>IF(Horendonk!K4=(""),(""),ROUND(Horendonk!K4/Horendonk!$B4*10,3))</f>
        <v/>
      </c>
      <c r="N4" s="36" t="str">
        <f>IF(Horendonk!L4=(""),(""),ROUND(Horendonk!L4/Horendonk!$B4*10,3))</f>
        <v/>
      </c>
      <c r="O4" s="36" t="str">
        <f>IF(Horendonk!M4=(""),(""),ROUND(Horendonk!M4/Horendonk!$B4*10,3))</f>
        <v/>
      </c>
      <c r="P4" s="36" t="str">
        <f>IF(Horendonk!N4=(""),(""),ROUND(Horendonk!N4/Horendonk!$B4*10,3))</f>
        <v/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3</v>
      </c>
      <c r="B5" s="28" t="str">
        <f>Horendonk!A5</f>
        <v xml:space="preserve">Arnouts Louis    </v>
      </c>
      <c r="C5" s="32">
        <f>IF(Horendonk!AL5=0," ",SUM(E5:AD5))</f>
        <v>28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 t="str">
        <f>IF(Horendonk!M5=(""),(""),ROUND(Horendonk!M5/Horendonk!$B5*10,3))</f>
        <v/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5</v>
      </c>
      <c r="B7" s="28" t="str">
        <f>Horendonk!A7</f>
        <v>De Backer Jef</v>
      </c>
      <c r="C7" s="32">
        <f>IF(Horendonk!AL7=0," ",SUM(E7:AD7))</f>
        <v>56.923000000000002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 t="str">
        <f>IF(Horendonk!K7=(""),(""),ROUND(Horendonk!K7/Horendonk!$B7*10,3))</f>
        <v/>
      </c>
      <c r="N7" s="36" t="str">
        <f>IF(Horendonk!L7=(""),(""),ROUND(Horendonk!L7/Horendonk!$B7*10,3))</f>
        <v/>
      </c>
      <c r="O7" s="36" t="str">
        <f>IF(Horendonk!M7=(""),(""),ROUND(Horendonk!M7/Horendonk!$B7*10,3))</f>
        <v/>
      </c>
      <c r="P7" s="36" t="str">
        <f>IF(Horendonk!N7=(""),(""),ROUND(Horendonk!N7/Horendonk!$B7*10,3))</f>
        <v/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5</v>
      </c>
      <c r="B8" s="28" t="str">
        <f>Horendonk!A8</f>
        <v>Herreyers Remy</v>
      </c>
      <c r="C8" s="32">
        <f>IF(Horendonk!AL8=0," ",SUM(E8:AD8))</f>
        <v>36.040999999999997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 t="str">
        <f>IF(Horendonk!L8=(""),(""),ROUND(Horendonk!L8/Horendonk!$B8*10,3))</f>
        <v/>
      </c>
      <c r="O8" s="36" t="str">
        <f>IF(Horendonk!M8=(""),(""),ROUND(Horendonk!M8/Horendonk!$B8*10,3))</f>
        <v/>
      </c>
      <c r="P8" s="36" t="str">
        <f>IF(Horendonk!N8=(""),(""),ROUND(Horendonk!N8/Horendonk!$B8*10,3))</f>
        <v/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4</v>
      </c>
      <c r="B9" s="80" t="str">
        <f>Horendonk!A9</f>
        <v>Maas Guy</v>
      </c>
      <c r="C9" s="32">
        <f>IF(Horendonk!AL9=0," ",SUM(E9:AD9))</f>
        <v>31.6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 t="str">
        <f>IF(Horendonk!K9=(""),(""),ROUND(Horendonk!K9/Horendonk!$B9*10,3))</f>
        <v/>
      </c>
      <c r="N9" s="36" t="str">
        <f>IF(Horendonk!L9=(""),(""),ROUND(Horendonk!L9/Horendonk!$B9*10,3))</f>
        <v/>
      </c>
      <c r="O9" s="36" t="str">
        <f>IF(Horendonk!M9=(""),(""),ROUND(Horendonk!M9/Horendonk!$B9*10,3))</f>
        <v/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4</v>
      </c>
      <c r="B10" s="28" t="str">
        <f>Horendonk!A10</f>
        <v xml:space="preserve">Nelen Johan  </v>
      </c>
      <c r="C10" s="32">
        <f>IF(Horendonk!AL10=0," ",SUM(E10:AD10))</f>
        <v>35.332999999999998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 t="str">
        <f>IF(Horendonk!K10=(""),(""),ROUND(Horendonk!K10/Horendonk!$B10*10,3))</f>
        <v/>
      </c>
      <c r="N10" s="36" t="str">
        <f>IF(Horendonk!L10=(""),(""),ROUND(Horendonk!L10/Horendonk!$B10*10,3))</f>
        <v/>
      </c>
      <c r="O10" s="36" t="str">
        <f>IF(Horendonk!M10=(""),(""),ROUND(Horendonk!M10/Horendonk!$B10*10,3))</f>
        <v/>
      </c>
      <c r="P10" s="36" t="str">
        <f>IF(Horendonk!N10=(""),(""),ROUND(Horendonk!N10/Horendonk!$B10*10,3))</f>
        <v/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4</v>
      </c>
      <c r="B11" s="28" t="str">
        <f>Horendonk!A11</f>
        <v>Oerlemans Willy</v>
      </c>
      <c r="C11" s="32">
        <f>IF(Horendonk!AL11=0," ",SUM(E11:AD11))</f>
        <v>33.572000000000003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 t="str">
        <f>IF(Horendonk!K11=(""),(""),ROUND(Horendonk!K11/Horendonk!$B11*10,3))</f>
        <v/>
      </c>
      <c r="N11" s="36" t="str">
        <f>IF(Horendonk!L11=(""),(""),ROUND(Horendonk!L11/Horendonk!$B11*10,3))</f>
        <v/>
      </c>
      <c r="O11" s="36" t="str">
        <f>IF(Horendonk!M11=(""),(""),ROUND(Horendonk!M11/Horendonk!$B11*10,3))</f>
        <v/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7</v>
      </c>
      <c r="B12" s="28" t="str">
        <f>Horendonk!A12</f>
        <v>Siemons Jos</v>
      </c>
      <c r="C12" s="32">
        <f>IF(Horendonk!AL12=0," ",SUM(E12:AD12))</f>
        <v>71.2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 t="str">
        <f>IF(Horendonk!K12=(""),(""),ROUND(Horendonk!K12/Horendonk!$B12*10,3))</f>
        <v/>
      </c>
      <c r="N12" s="36" t="str">
        <f>IF(Horendonk!L12=(""),(""),ROUND(Horendonk!L12/Horendonk!$B12*10,3))</f>
        <v/>
      </c>
      <c r="O12" s="36" t="str">
        <f>IF(Horendonk!M12=(""),(""),ROUND(Horendonk!M12/Horendonk!$B12*10,3))</f>
        <v/>
      </c>
      <c r="P12" s="36" t="str">
        <f>IF(Horendonk!N12=(""),(""),ROUND(Horendonk!N12/Horendonk!$B12*10,3))</f>
        <v/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5</v>
      </c>
      <c r="B13" s="28" t="str">
        <f>Horendonk!A13</f>
        <v>Van Aert André</v>
      </c>
      <c r="C13" s="32">
        <f>IF(Horendonk!AL13=0," ",SUM(E13:AD13))</f>
        <v>48.965000000000003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 t="str">
        <f>IF(Horendonk!L13=(""),(""),ROUND(Horendonk!L13/Horendonk!$B13*10,3))</f>
        <v/>
      </c>
      <c r="O13" s="36" t="str">
        <f>IF(Horendonk!M13=(""),(""),ROUND(Horendonk!M13/Horendonk!$B13*10,3))</f>
        <v/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36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36">
        <f>IF(Horendonk!I14=(""),(""),ROUND(Horendonk!I14/Horendonk!$B14*10,3))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6</v>
      </c>
      <c r="B15" s="81" t="str">
        <f>Horendonk!A15</f>
        <v xml:space="preserve">Vergouwen René </v>
      </c>
      <c r="C15" s="32">
        <f>IF(Horendonk!AL15=0," ",SUM(E15:AD15))</f>
        <v>54.667000000000002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 t="str">
        <f>IF(Horendonk!M15=(""),(""),ROUND(Horendonk!M15/Horendonk!$B15*10,3))</f>
        <v/>
      </c>
      <c r="P15" s="36" t="str">
        <f>IF(Horendonk!N15=(""),(""),ROUND(Horendonk!N15/Horendonk!$B15*10,3))</f>
        <v/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6" t="str">
        <f>B3</f>
        <v>HORENDONK</v>
      </c>
      <c r="D16" s="227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 t="str">
        <f t="shared" si="1"/>
        <v xml:space="preserve"> </v>
      </c>
      <c r="N16" s="36" t="str">
        <f t="shared" si="1"/>
        <v xml:space="preserve"> </v>
      </c>
      <c r="O16" s="36" t="str">
        <f t="shared" si="1"/>
        <v xml:space="preserve"> </v>
      </c>
      <c r="P16" s="36" t="str">
        <f t="shared" si="1"/>
        <v xml:space="preserve"> 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457.06099999999992</v>
      </c>
      <c r="D17" s="227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 t="str">
        <f t="shared" ref="M17" si="9">IF(M16=(" "),(" "),L17+M16)</f>
        <v xml:space="preserve"> </v>
      </c>
      <c r="N17" s="40" t="str">
        <f t="shared" ref="N17" si="10">IF(N16=(" "),(" "),M17+N16)</f>
        <v xml:space="preserve"> </v>
      </c>
      <c r="O17" s="40" t="str">
        <f t="shared" ref="O17" si="11">IF(O16=(" "),(" "),N17+O16)</f>
        <v xml:space="preserve"> </v>
      </c>
      <c r="P17" s="40" t="str">
        <f t="shared" ref="P17" si="12">IF(P16=(" "),(" "),O17+P16)</f>
        <v xml:space="preserve"> 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3</v>
      </c>
      <c r="B20" s="28" t="str">
        <f>Kerkuilen!A4</f>
        <v xml:space="preserve">Antonissen Gust      </v>
      </c>
      <c r="C20" s="32">
        <f>IF(Kerkuilen!AL4=0," ",SUM(E20:AD20))</f>
        <v>21.29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 t="str">
        <f>IF(Kerkuilen!K4=(""),(""),ROUND(Kerkuilen!K4/Kerkuilen!$B4*10,3))</f>
        <v/>
      </c>
      <c r="N20" s="36" t="str">
        <f>IF(Kerkuilen!L4=(""),(""),ROUND(Kerkuilen!L4/Kerkuilen!$B4*10,3))</f>
        <v/>
      </c>
      <c r="O20" s="36" t="str">
        <f>IF(Kerkuilen!M4=(""),(""),ROUND(Kerkuilen!M4/Kerkuilen!$B4*10,3))</f>
        <v/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2</v>
      </c>
      <c r="B21" s="28" t="str">
        <f>Kerkuilen!A5</f>
        <v>De Kaey Piet</v>
      </c>
      <c r="C21" s="32">
        <f>IF(Kerkuilen!AL5=0," ",SUM(E21:AD21))</f>
        <v>23.654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 t="str">
        <f>IF(Kerkuilen!K5=(""),(""),ROUND(Kerkuilen!K5/Kerkuilen!$B5*10,3))</f>
        <v/>
      </c>
      <c r="N21" s="36" t="str">
        <f>IF(Kerkuilen!L5=(""),(""),ROUND(Kerkuilen!L5/Kerkuilen!$B5*10,3))</f>
        <v/>
      </c>
      <c r="O21" s="36" t="str">
        <f>IF(Kerkuilen!M5=(""),(""),ROUND(Kerkuilen!M5/Kerkuilen!$B5*10,3))</f>
        <v/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2</v>
      </c>
      <c r="B22" s="28" t="str">
        <f>Kerkuilen!A6</f>
        <v>Elst Stan</v>
      </c>
      <c r="C22" s="32">
        <f>IF(Kerkuilen!AL6=0," ",SUM(E22:AD22))</f>
        <v>17.856999999999999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 t="str">
        <f>IF(Kerkuilen!M6=(""),(""),ROUND(Kerkuilen!M6/Kerkuilen!$B6*10,3))</f>
        <v/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1</v>
      </c>
      <c r="B23" s="28" t="str">
        <f>Kerkuilen!A7</f>
        <v>Hectors Hugo</v>
      </c>
      <c r="C23" s="32">
        <f>IF(Kerkuilen!AL7=0," ",SUM(E23:AD23))</f>
        <v>6.6669999999999998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 t="str">
        <f>IF(Kerkuilen!N7=(""),(""),ROUND(Kerkuilen!N7/Kerkuilen!$B7*10,3))</f>
        <v/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1</v>
      </c>
      <c r="B24" s="28" t="str">
        <f>Kerkuilen!A8</f>
        <v xml:space="preserve">Jacobis Martin </v>
      </c>
      <c r="C24" s="32">
        <f>IF(Kerkuilen!AL8=0," ",SUM(E24:AD24))</f>
        <v>7.2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 t="str">
        <f>IF(Kerkuilen!K8=(""),(""),ROUND(Kerkuilen!K8/Kerkuilen!$B8*10,3))</f>
        <v/>
      </c>
      <c r="N24" s="36" t="str">
        <f>IF(Kerkuilen!L8=(""),(""),ROUND(Kerkuilen!L8/Kerkuilen!$B8*10,3))</f>
        <v/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5</v>
      </c>
      <c r="B25" s="28" t="str">
        <f>Kerkuilen!A9</f>
        <v>Lambrechts Jef</v>
      </c>
      <c r="C25" s="32">
        <f>IF(Kerkuilen!AL9=0," ",SUM(E25:AD25))</f>
        <v>48.491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 t="str">
        <f>IF(Kerkuilen!L9=(""),(""),ROUND(Kerkuilen!L9/Kerkuilen!$B9*10,3))</f>
        <v/>
      </c>
      <c r="O25" s="36" t="str">
        <f>IF(Kerkuilen!M9=(""),(""),ROUND(Kerkuilen!M9/Kerkuilen!$B9*10,3))</f>
        <v/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3</v>
      </c>
      <c r="B26" s="28" t="str">
        <f>Kerkuilen!A10</f>
        <v>Naulaerts Rik</v>
      </c>
      <c r="C26" s="32">
        <f>IF(Kerkuilen!AL10=0," ",SUM(E26:AD26))</f>
        <v>31.568000000000001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 t="str">
        <f>IF(Kerkuilen!K10=(""),(""),ROUND(Kerkuilen!K10/Kerkuilen!$B10*10,3))</f>
        <v/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 t="str">
        <f>IF(Kerkuilen!N10=(""),(""),ROUND(Kerkuilen!N10/Kerkuilen!$B10*10,3))</f>
        <v/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3</v>
      </c>
      <c r="B27" s="28" t="str">
        <f>Kerkuilen!A11</f>
        <v>Peeters Wies</v>
      </c>
      <c r="C27" s="32">
        <f>IF(Kerkuilen!AL11=0," ",SUM(E27:AD27))</f>
        <v>28.928999999999998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 t="str">
        <f>IF(Kerkuilen!L11=(""),(""),ROUND(Kerkuilen!L11/Kerkuilen!$B11*10,3))</f>
        <v/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6</v>
      </c>
      <c r="B28" s="28" t="str">
        <f>Kerkuilen!A12</f>
        <v>Pleysier Luc</v>
      </c>
      <c r="C28" s="32">
        <f>IF(Kerkuilen!AL12=0," ",SUM(E28:AD28))</f>
        <v>48.667999999999999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 t="str">
        <f>IF(Kerkuilen!K12=(""),(""),ROUND(Kerkuilen!K12/Kerkuilen!$B12*10,3))</f>
        <v/>
      </c>
      <c r="N28" s="36" t="str">
        <f>IF(Kerkuilen!L12=(""),(""),ROUND(Kerkuilen!L12/Kerkuilen!$B12*10,3))</f>
        <v/>
      </c>
      <c r="O28" s="36" t="str">
        <f>IF(Kerkuilen!M12=(""),(""),ROUND(Kerkuilen!M12/Kerkuilen!$B12*10,3))</f>
        <v/>
      </c>
      <c r="P28" s="36" t="str">
        <f>IF(Kerkuilen!N12=(""),(""),ROUND(Kerkuilen!N12/Kerkuilen!$B12*10,3))</f>
        <v/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4</v>
      </c>
      <c r="B29" s="28" t="str">
        <f>Kerkuilen!A13</f>
        <v xml:space="preserve">Quick Gerard </v>
      </c>
      <c r="C29" s="32">
        <f>IF(Kerkuilen!AL13=0," ",SUM(E29:AD29))</f>
        <v>44.230000000000004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 t="str">
        <f>IF(Kerkuilen!L13=(""),(""),ROUND(Kerkuilen!L13/Kerkuilen!$B13*10,3))</f>
        <v/>
      </c>
      <c r="O29" s="36" t="str">
        <f>IF(Kerkuilen!M13=(""),(""),ROUND(Kerkuilen!M13/Kerkuilen!$B13*10,3))</f>
        <v/>
      </c>
      <c r="P29" s="36" t="str">
        <f>IF(Kerkuilen!N13=(""),(""),ROUND(Kerkuilen!N13/Kerkuilen!$B13*10,3))</f>
        <v/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6</v>
      </c>
      <c r="B30" s="80" t="str">
        <f>Kerkuilen!A14</f>
        <v>Schrooyen Jef</v>
      </c>
      <c r="C30" s="32">
        <f>IF(Kerkuilen!AL14=0," ",SUM(E30:AD30))</f>
        <v>47.059000000000005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 t="str">
        <f>IF(Kerkuilen!K14=(""),(""),ROUND(Kerkuilen!K14/Kerkuilen!$B14*10,3))</f>
        <v/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 t="str">
        <f>IF(Kerkuilen!N14=(""),(""),ROUND(Kerkuilen!N14/Kerkuilen!$B14*10,3))</f>
        <v/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5</v>
      </c>
      <c r="B31" s="28" t="str">
        <f>Kerkuilen!A15</f>
        <v>Uytdewilligen Hubert</v>
      </c>
      <c r="C31" s="32">
        <f>IF(Kerkuilen!AL15=0," ",SUM(E31:AD31))</f>
        <v>46.06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 t="str">
        <f>IF(Kerkuilen!M15=(""),(""),ROUND(Kerkuilen!M15/Kerkuilen!$B15*10,3))</f>
        <v/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2</v>
      </c>
      <c r="B32" s="38" t="str">
        <f>Kerkuilen!A16</f>
        <v>Van Ginneken Cyriel  (ns)</v>
      </c>
      <c r="C32" s="32">
        <f>IF(Kerkuilen!AL16=0," ",SUM(E32:AD32))</f>
        <v>13.5</v>
      </c>
      <c r="E32" s="36" t="str">
        <f>IF(Kerkuilen!C16=(""),(""),ROUND(Kerkuilen!C16/Kerkuilen!$B16*10,3))</f>
        <v/>
      </c>
      <c r="F32" s="36">
        <f>IF(Kerkuilen!D16=(""),(""),ROUND(Kerkuilen!D16/20*10,3))</f>
        <v>8</v>
      </c>
      <c r="G32" s="36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36" t="str">
        <f>IF(Kerkuilen!M16=(""),(""),ROUND(Kerkuilen!M16/Kerkuilen!$B16*10,3))</f>
        <v/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4</v>
      </c>
      <c r="B33" s="38" t="str">
        <f>Kerkuilen!A17</f>
        <v>Van Oers Danny  [NS 50]</v>
      </c>
      <c r="C33" s="32">
        <f>IF(Kerkuilen!AL17=0," ",SUM(E33:AD33))</f>
        <v>41.2</v>
      </c>
      <c r="E33" s="36" t="str">
        <f>IF(Kerkuilen!C17=(""),(""),ROUND(Kerkuilen!C17/Kerkuilen!$B17*10,3))</f>
        <v/>
      </c>
      <c r="F33" s="36">
        <f>IF(Kerkuilen!D17=(""),(""),ROUND(Kerkuilen!D17/50*10,3))</f>
        <v>10</v>
      </c>
      <c r="G33" s="36">
        <f>IF(Kerkuilen!E17=(""),(""),ROUND(Kerkuilen!E17/50*10,3))</f>
        <v>9</v>
      </c>
      <c r="H33" s="36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 t="str">
        <f>IF(Kerkuilen!L17=(""),(""),ROUND(Kerkuilen!L17/Kerkuilen!$B17*10,3))</f>
        <v/>
      </c>
      <c r="O33" s="36" t="str">
        <f>IF(Kerkuilen!M17=(""),(""),ROUND(Kerkuilen!M17/Kerkuilen!$B17*10,3))</f>
        <v/>
      </c>
      <c r="P33" s="36" t="str">
        <f>IF(Kerkuilen!N17=(""),(""),ROUND(Kerkuilen!N17/Kerkuilen!$B17*10,3))</f>
        <v/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7" t="str">
        <f>B19</f>
        <v>KERKUILEN</v>
      </c>
      <c r="D35" s="227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 t="str">
        <f t="shared" si="29"/>
        <v xml:space="preserve"> </v>
      </c>
      <c r="N35" s="36" t="str">
        <f t="shared" si="29"/>
        <v xml:space="preserve"> </v>
      </c>
      <c r="O35" s="36" t="str">
        <f t="shared" si="29"/>
        <v xml:space="preserve"> </v>
      </c>
      <c r="P35" s="36" t="str">
        <f t="shared" si="29"/>
        <v xml:space="preserve"> 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439.92100000000005</v>
      </c>
      <c r="D36" s="227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 t="str">
        <f t="shared" si="30"/>
        <v xml:space="preserve"> </v>
      </c>
      <c r="N36" s="40" t="str">
        <f t="shared" si="30"/>
        <v xml:space="preserve"> </v>
      </c>
      <c r="O36" s="40" t="str">
        <f>IF(O35=(" "),(" "),N36+O35)</f>
        <v xml:space="preserve"> </v>
      </c>
      <c r="P36" s="40" t="str">
        <f t="shared" si="30"/>
        <v xml:space="preserve"> 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5</v>
      </c>
      <c r="B39" s="28" t="str">
        <f>Meeuwen1!A4</f>
        <v>Aerts Adri</v>
      </c>
      <c r="C39" s="32">
        <f>IF(Meeuwen1!AL4=0," ",SUM(E39:AD39))</f>
        <v>51.251000000000005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 t="str">
        <f>IF(Meeuwen1!K4=(""),(""),ROUND(Meeuwen1!K4/Meeuwen1!$B4*10,3))</f>
        <v/>
      </c>
      <c r="N39" s="36" t="str">
        <f>IF(Meeuwen1!L4=(""),(""),ROUND(Meeuwen1!L4/Meeuwen1!$B4*10,3))</f>
        <v/>
      </c>
      <c r="O39" s="36" t="str">
        <f>IF(Meeuwen1!M4=(""),(""),ROUND(Meeuwen1!M4/Meeuwen1!$B4*10,3))</f>
        <v/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6</v>
      </c>
      <c r="B40" s="28" t="str">
        <f>Meeuwen1!A5</f>
        <v>Bocken Jean Pierre</v>
      </c>
      <c r="C40" s="32">
        <f>IF(Meeuwen1!AL5=0," ",SUM(E40:AD40))</f>
        <v>42.776000000000003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 t="str">
        <f>IF(Meeuwen1!K5=(""),(""),ROUND(Meeuwen1!K5/Meeuwen1!$B5*10,3))</f>
        <v/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 t="str">
        <f>IF(Meeuwen1!N5=(""),(""),ROUND(Meeuwen1!N5/Meeuwen1!$B5*10,3))</f>
        <v/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4</v>
      </c>
      <c r="B41" s="28" t="str">
        <f>Meeuwen1!A6</f>
        <v xml:space="preserve">Bocken Lambert  </v>
      </c>
      <c r="C41" s="32">
        <f>IF(Meeuwen1!AL6=0," ",SUM(E41:AD41))</f>
        <v>42.5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 t="str">
        <f>IF(Meeuwen1!K6=(""),(""),ROUND(Meeuwen1!K6/Meeuwen1!$B6*10,3))</f>
        <v/>
      </c>
      <c r="N41" s="36" t="str">
        <f>IF(Meeuwen1!L6=(""),(""),ROUND(Meeuwen1!L6/Meeuwen1!$B6*10,3))</f>
        <v/>
      </c>
      <c r="O41" s="36" t="str">
        <f>IF(Meeuwen1!M6=(""),(""),ROUND(Meeuwen1!M6/Meeuwen1!$B6*10,3))</f>
        <v/>
      </c>
      <c r="P41" s="36" t="str">
        <f>IF(Meeuwen1!N6=(""),(""),ROUND(Meeuwen1!N6/Meeuwen1!$B6*10,3))</f>
        <v/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6</v>
      </c>
      <c r="B42" s="28" t="str">
        <f>Meeuwen1!A7</f>
        <v>Goetschalkx Herman</v>
      </c>
      <c r="C42" s="32">
        <f>IF(Meeuwen1!AL7=0," ",SUM(E42:AD42))</f>
        <v>38.668000000000006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 t="str">
        <f>IF(Meeuwen1!L7=(""),(""),ROUND(Meeuwen1!L7/Meeuwen1!$B7*10,3))</f>
        <v/>
      </c>
      <c r="O42" s="36" t="str">
        <f>IF(Meeuwen1!M7=(""),(""),ROUND(Meeuwen1!M7/Meeuwen1!$B7*10,3))</f>
        <v/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2</v>
      </c>
      <c r="B43" s="28" t="str">
        <f>Meeuwen1!A8</f>
        <v>Grauwmans Rik</v>
      </c>
      <c r="C43" s="32">
        <f>IF(Meeuwen1!AL8=0," ",SUM(E43:AD43))</f>
        <v>15.151999999999999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 t="str">
        <f>IF(Meeuwen1!L8=(""),(""),ROUND(Meeuwen1!L8/Meeuwen1!$B8*10,3))</f>
        <v/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2</v>
      </c>
      <c r="B44" s="28" t="str">
        <f>Meeuwen1!A9</f>
        <v>Meeusen Marc</v>
      </c>
      <c r="C44" s="32">
        <f>IF(Meeuwen1!AL9=0," ",SUM(E44:AD44))</f>
        <v>12.879999999999999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 t="str">
        <f>IF(Meeuwen1!L9=(""),(""),ROUND(Meeuwen1!L9/Meeuwen1!$B9*10,3))</f>
        <v/>
      </c>
      <c r="O44" s="36" t="str">
        <f>IF(Meeuwen1!M9=(""),(""),ROUND(Meeuwen1!M9/Meeuwen1!$B9*10,3))</f>
        <v/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4</v>
      </c>
      <c r="B45" s="28" t="str">
        <f>Meeuwen1!A10</f>
        <v>Van Loon Marc</v>
      </c>
      <c r="C45" s="32">
        <f>IF(Meeuwen1!AL10=0," ",SUM(E45:AD45))</f>
        <v>34.665999999999997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 t="str">
        <f>IF(Meeuwen1!K10=(""),(""),ROUND(Meeuwen1!K10/Meeuwen1!$B10*10,3))</f>
        <v/>
      </c>
      <c r="N45" s="36" t="str">
        <f>IF(Meeuwen1!L10=(""),(""),ROUND(Meeuwen1!L10/Meeuwen1!$B10*10,3))</f>
        <v/>
      </c>
      <c r="O45" s="36" t="str">
        <f>IF(Meeuwen1!M10=(""),(""),ROUND(Meeuwen1!M10/Meeuwen1!$B10*10,3))</f>
        <v/>
      </c>
      <c r="P45" s="36" t="str">
        <f>IF(Meeuwen1!N10=(""),(""),ROUND(Meeuwen1!N10/Meeuwen1!$B10*10,3))</f>
        <v/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4</v>
      </c>
      <c r="B46" s="28" t="str">
        <f>Meeuwen1!A11</f>
        <v>Van Zoest Teun</v>
      </c>
      <c r="C46" s="32">
        <f>IF(Meeuwen1!AL11=0," ",SUM(E46:AD46))</f>
        <v>36.666000000000004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5</v>
      </c>
      <c r="B47" s="28" t="str">
        <f>Meeuwen1!A12</f>
        <v>Veraart Jos</v>
      </c>
      <c r="C47" s="32">
        <f>IF(Meeuwen1!AL12=0," ",SUM(E47:AD47))</f>
        <v>29.375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 t="str">
        <f>IF(Meeuwen1!L12=(""),(""),ROUND(Meeuwen1!L12/Meeuwen1!$B12*10,3))</f>
        <v/>
      </c>
      <c r="O47" s="36" t="str">
        <f>IF(Meeuwen1!M12=(""),(""),ROUND(Meeuwen1!M12/Meeuwen1!$B12*10,3))</f>
        <v/>
      </c>
      <c r="P47" s="36" t="str">
        <f>IF(Meeuwen1!N12=(""),(""),ROUND(Meeuwen1!N12/Meeuwen1!$B12*10,3))</f>
        <v/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4</v>
      </c>
      <c r="B48" s="80" t="str">
        <f>Meeuwen1!A13</f>
        <v>Vossen Filip</v>
      </c>
      <c r="C48" s="32">
        <f>IF(Meeuwen1!AL13=0," ",SUM(E48:AD48))</f>
        <v>41.875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 t="str">
        <f>IF(Meeuwen1!K13=(""),(""),ROUND(Meeuwen1!K13/Meeuwen1!$B13*10,3))</f>
        <v/>
      </c>
      <c r="N48" s="36" t="str">
        <f>IF(Meeuwen1!L13=(""),(""),ROUND(Meeuwen1!L13/Meeuwen1!$B13*10,3))</f>
        <v/>
      </c>
      <c r="O48" s="36" t="str">
        <f>IF(Meeuwen1!M13=(""),(""),ROUND(Meeuwen1!M13/Meeuwen1!$B13*10,3))</f>
        <v/>
      </c>
      <c r="P48" s="36" t="str">
        <f>IF(Meeuwen1!N13=(""),(""),ROUND(Meeuwen1!N13/Meeuwen1!$B13*10,3))</f>
        <v/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6</v>
      </c>
      <c r="B49" s="38" t="str">
        <f>Meeuwen1!A14</f>
        <v>Vossen Ronny  [NS 20]</v>
      </c>
      <c r="C49" s="32">
        <f>IF(Meeuwen1!AL14=0," ",SUM(E49:AD49))</f>
        <v>42.5</v>
      </c>
      <c r="E49" s="36">
        <f>IF(Meeuwen1!C14=(""),(""),ROUND(Meeuwen1!C14/20*10,3))</f>
        <v>11</v>
      </c>
      <c r="F49" s="36">
        <f>IF(Meeuwen1!D14=(""),(""),ROUND(Meeuwen1!D14/20*10,3))</f>
        <v>5</v>
      </c>
      <c r="G49" s="36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 t="str">
        <f>IF(Meeuwen1!K14=(""),(""),ROUND(Meeuwen1!K14/Meeuwen1!$B14*10,3))</f>
        <v/>
      </c>
      <c r="N49" s="36" t="str">
        <f>IF(Meeuwen1!L14=(""),(""),ROUND(Meeuwen1!L14/Meeuwen1!$B14*10,3))</f>
        <v/>
      </c>
      <c r="O49" s="36" t="str">
        <f>IF(Meeuwen1!M14=(""),(""),ROUND(Meeuwen1!M14/Meeuwen1!$B14*10,3))</f>
        <v/>
      </c>
      <c r="P49" s="36" t="str">
        <f>IF(Meeuwen1!N14=(""),(""),ROUND(Meeuwen1!N14/Meeuwen1!$B14*10,3))</f>
        <v/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8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 t="str">
        <f t="shared" si="32"/>
        <v xml:space="preserve"> </v>
      </c>
      <c r="N50" s="36" t="str">
        <f t="shared" si="32"/>
        <v xml:space="preserve"> </v>
      </c>
      <c r="O50" s="36" t="str">
        <f t="shared" si="32"/>
        <v xml:space="preserve"> </v>
      </c>
      <c r="P50" s="36" t="str">
        <f t="shared" si="32"/>
        <v xml:space="preserve"> 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388.30900000000003</v>
      </c>
      <c r="D51" s="227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 t="str">
        <f t="shared" si="33"/>
        <v xml:space="preserve"> </v>
      </c>
      <c r="N51" s="40" t="str">
        <f t="shared" si="33"/>
        <v xml:space="preserve"> </v>
      </c>
      <c r="O51" s="40" t="str">
        <f t="shared" si="33"/>
        <v xml:space="preserve"> </v>
      </c>
      <c r="P51" s="40" t="str">
        <f t="shared" si="33"/>
        <v xml:space="preserve"> 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3</v>
      </c>
      <c r="B54" s="28" t="str">
        <f>Meeuwen2!A4</f>
        <v>Brouwers Gerard</v>
      </c>
      <c r="C54" s="32">
        <f>IF(Meeuwen2!AL4=0," ",SUM(E54:AD54))</f>
        <v>24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 t="str">
        <f>IF(Meeuwen2!K4=(""),(""),ROUND(Meeuwen2!K4/Meeuwen2!$B4*10,3))</f>
        <v/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 t="str">
        <f>IF(Meeuwen2!N4=(""),(""),ROUND(Meeuwen2!N4/Meeuwen2!$B4*10,3))</f>
        <v/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6</v>
      </c>
      <c r="B55" s="28" t="str">
        <f>Meeuwen2!A5</f>
        <v>De Backer Jerome</v>
      </c>
      <c r="C55" s="32">
        <f>IF(Meeuwen2!AL5=0," ",SUM(E55:AD55))</f>
        <v>63.158000000000001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 t="str">
        <f>IF(Meeuwen2!L5=(""),(""),ROUND(Meeuwen2!L5/Meeuwen2!$B5*10,3))</f>
        <v/>
      </c>
      <c r="O55" s="36" t="str">
        <f>IF(Meeuwen2!M5=(""),(""),ROUND(Meeuwen2!M5/Meeuwen2!$B5*10,3))</f>
        <v/>
      </c>
      <c r="P55" s="36" t="str">
        <f>IF(Meeuwen2!N5=(""),(""),ROUND(Meeuwen2!N5/Meeuwen2!$B5*10,3))</f>
        <v/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1</v>
      </c>
      <c r="B56" s="80" t="str">
        <f>Meeuwen2!A6</f>
        <v xml:space="preserve">Gabriëls Johnny  </v>
      </c>
      <c r="C56" s="32">
        <f>IF(Meeuwen2!AL6=0," ",SUM(E56:AD56))</f>
        <v>6.5629999999999997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 t="str">
        <f>IF(Meeuwen2!M6=(""),(""),ROUND(Meeuwen2!M6/Meeuwen2!$B6*10,3))</f>
        <v/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5</v>
      </c>
      <c r="B57" s="28" t="str">
        <f>Meeuwen2!A7</f>
        <v xml:space="preserve">Jacobs Hugo            </v>
      </c>
      <c r="C57" s="32">
        <f>IF(Meeuwen2!AL7=0," ",SUM(E57:AD57))</f>
        <v>48.823000000000008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 t="str">
        <f>IF(Meeuwen2!L7=(""),(""),ROUND(Meeuwen2!L7/Meeuwen2!$B7*10,3))</f>
        <v/>
      </c>
      <c r="O57" s="36" t="str">
        <f>IF(Meeuwen2!M7=(""),(""),ROUND(Meeuwen2!M7/Meeuwen2!$B7*10,3))</f>
        <v/>
      </c>
      <c r="P57" s="36" t="str">
        <f>IF(Meeuwen2!N7=(""),(""),ROUND(Meeuwen2!N7/Meeuwen2!$B7*10,3))</f>
        <v/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3</v>
      </c>
      <c r="B58" s="28" t="str">
        <f>Meeuwen2!A8</f>
        <v>Jacobs Willy</v>
      </c>
      <c r="C58" s="32">
        <f>IF(Meeuwen2!AL8=0," ",SUM(E58:AD58))</f>
        <v>25.125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 t="str">
        <f>IF(Meeuwen2!L8=(""),(""),ROUND(Meeuwen2!L8/Meeuwen2!$B8*10,3))</f>
        <v/>
      </c>
      <c r="O58" s="36" t="str">
        <f>IF(Meeuwen2!M8=(""),(""),ROUND(Meeuwen2!M8/Meeuwen2!$B8*10,3))</f>
        <v/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5</v>
      </c>
      <c r="B61" s="28" t="str">
        <f>Meeuwen2!A11</f>
        <v xml:space="preserve">Present Fons </v>
      </c>
      <c r="C61" s="32">
        <f>IF(Meeuwen2!AL11=0," ",SUM(E61:AD61))</f>
        <v>56.819000000000003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 t="str">
        <f>IF(Meeuwen2!K11=(""),(""),ROUND(Meeuwen2!K11/Meeuwen2!$B11*10,3))</f>
        <v/>
      </c>
      <c r="N61" s="36" t="str">
        <f>IF(Meeuwen2!L11=(""),(""),ROUND(Meeuwen2!L11/Meeuwen2!$B11*10,3))</f>
        <v/>
      </c>
      <c r="O61" s="36" t="str">
        <f>IF(Meeuwen2!M11=(""),(""),ROUND(Meeuwen2!M11/Meeuwen2!$B11*10,3))</f>
        <v/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2</v>
      </c>
      <c r="B62" s="38" t="str">
        <f>Meeuwen2!A12</f>
        <v>Present Marc     (ns)</v>
      </c>
      <c r="C62" s="32">
        <f>IF(Meeuwen2!AL12=0," ",SUM(E62:AD62))</f>
        <v>22</v>
      </c>
      <c r="E62" s="36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36">
        <f>IF(Meeuwen2!H12=(""),(""),ROUND(Meeuwen2!H12/Meeuwen2!$B12*10,3))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36" t="str">
        <f>IF(Meeuwen2!K12=(""),(""),ROUND(Meeuwen2!K12/Meeuwen2!$B12*10,3))</f>
        <v/>
      </c>
      <c r="N62" s="36" t="str">
        <f>IF(Meeuwen2!L12=(""),(""),ROUND(Meeuwen2!L12/Meeuwen2!$B12*10,3))</f>
        <v/>
      </c>
      <c r="O62" s="36" t="str">
        <f>IF(Meeuwen2!M12=(""),(""),ROUND(Meeuwen2!M12/Meeuwen2!$B12*10,3))</f>
        <v/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5</v>
      </c>
      <c r="B63" s="28" t="str">
        <f>Meeuwen2!A13</f>
        <v>Suykerbuyk Stan</v>
      </c>
      <c r="C63" s="32">
        <f>IF(Meeuwen2!AL13=0," ",SUM(E63:AD63))</f>
        <v>58.182000000000002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 t="str">
        <f>IF(Meeuwen2!K13=(""),(""),ROUND(Meeuwen2!K13/Meeuwen2!$B13*10,3))</f>
        <v/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 t="str">
        <f>IF(Meeuwen2!N13=(""),(""),ROUND(Meeuwen2!N13/Meeuwen2!$B13*10,3))</f>
        <v/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6</v>
      </c>
      <c r="B64" s="28" t="str">
        <f>Meeuwen2!A14</f>
        <v xml:space="preserve">Vandersanden Lucien </v>
      </c>
      <c r="C64" s="32">
        <f>IF(Meeuwen2!AL14=0," ",SUM(E64:AD64))</f>
        <v>53.076999999999998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 t="str">
        <f>IF(Meeuwen2!L14=(""),(""),ROUND(Meeuwen2!L14/Meeuwen2!$B14*10,3))</f>
        <v/>
      </c>
      <c r="O64" s="36" t="str">
        <f>IF(Meeuwen2!M14=(""),(""),ROUND(Meeuwen2!M14/Meeuwen2!$B14*10,3))</f>
        <v/>
      </c>
      <c r="P64" s="36" t="str">
        <f>IF(Meeuwen2!N14=(""),(""),ROUND(Meeuwen2!N14/Meeuwen2!$B14*10,3))</f>
        <v/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4</v>
      </c>
      <c r="B65" s="28" t="str">
        <f>Meeuwen2!A15</f>
        <v>Van Dorst Alfons</v>
      </c>
      <c r="C65" s="32">
        <f>IF(Meeuwen2!AL15=0," ",SUM(E65:AD65))</f>
        <v>40.677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 t="str">
        <f>IF(Meeuwen2!K15=(""),(""),ROUND(Meeuwen2!K15/Meeuwen2!$B15*10,3))</f>
        <v/>
      </c>
      <c r="N65" s="36" t="str">
        <f>IF(Meeuwen2!L15=(""),(""),ROUND(Meeuwen2!L15/Meeuwen2!$B15*10,3))</f>
        <v/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6</v>
      </c>
      <c r="B66" s="28" t="str">
        <f>Meeuwen2!A16</f>
        <v xml:space="preserve">Van Thillo Sis   </v>
      </c>
      <c r="C66" s="32">
        <f>IF(Meeuwen2!AL16=0," ",SUM(E66:AD66))</f>
        <v>64.063999999999993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 t="str">
        <f>IF(Meeuwen2!K16=(""),(""),ROUND(Meeuwen2!K16/Meeuwen2!$B16*10,3))</f>
        <v/>
      </c>
      <c r="N66" s="36" t="str">
        <f>IF(Meeuwen2!L16=(""),(""),ROUND(Meeuwen2!L16/Meeuwen2!$B16*10,3))</f>
        <v/>
      </c>
      <c r="O66" s="36" t="str">
        <f>IF(Meeuwen2!M16=(""),(""),ROUND(Meeuwen2!M16/Meeuwen2!$B16*10,3))</f>
        <v/>
      </c>
      <c r="P66" s="36" t="str">
        <f>IF(Meeuwen2!N16=(""),(""),ROUND(Meeuwen2!N16/Meeuwen2!$B16*10,3))</f>
        <v/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8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 t="str">
        <f t="shared" si="35"/>
        <v xml:space="preserve"> </v>
      </c>
      <c r="N67" s="36" t="str">
        <f t="shared" si="35"/>
        <v xml:space="preserve"> </v>
      </c>
      <c r="O67" s="36" t="str">
        <f t="shared" si="35"/>
        <v xml:space="preserve"> </v>
      </c>
      <c r="P67" s="36" t="str">
        <f t="shared" si="35"/>
        <v xml:space="preserve"> 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486.625</v>
      </c>
      <c r="D68" s="265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 t="str">
        <f t="shared" si="36"/>
        <v xml:space="preserve"> </v>
      </c>
      <c r="N68" s="40" t="str">
        <f t="shared" si="36"/>
        <v xml:space="preserve"> </v>
      </c>
      <c r="O68" s="40" t="str">
        <f t="shared" si="36"/>
        <v xml:space="preserve"> </v>
      </c>
      <c r="P68" s="40" t="str">
        <f t="shared" si="36"/>
        <v xml:space="preserve"> 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3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3</v>
      </c>
      <c r="B71" s="28" t="str">
        <f>Molenheike!A4</f>
        <v xml:space="preserve">Brauns Martin    </v>
      </c>
      <c r="C71" s="32">
        <f>IF(Molenheike!AL4=0," ",SUM(E71:AD71))</f>
        <v>28.684000000000001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 t="str">
        <f>IF(Molenheike!K4=(""),(""),ROUND(Molenheike!K4/Molenheike!$B4*10,3))</f>
        <v/>
      </c>
      <c r="N71" s="36" t="str">
        <f>IF(Molenheike!L4=(""),(""),ROUND(Molenheike!L4/Molenheike!$B4*10,3))</f>
        <v/>
      </c>
      <c r="O71" s="36" t="str">
        <f>IF(Molenheike!M4=(""),(""),ROUND(Molenheike!M4/Molenheike!$B4*10,3))</f>
        <v/>
      </c>
      <c r="P71" s="36" t="str">
        <f>IF(Molenheike!N4=(""),(""),ROUND(Molenheike!N4/Molenheike!$B4*10,3))</f>
        <v/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6</v>
      </c>
      <c r="B72" s="28" t="str">
        <f>Molenheike!A5</f>
        <v>Brosens Luc</v>
      </c>
      <c r="C72" s="32">
        <f>IF(Molenheike!AL5=0," ",SUM(E72:AD72))</f>
        <v>54.654999999999987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 t="str">
        <f>IF(Molenheike!M5=(""),(""),ROUND(Molenheike!M5/Molenheike!$B5*10,3))</f>
        <v/>
      </c>
      <c r="P72" s="36" t="str">
        <f>IF(Molenheike!N5=(""),(""),ROUND(Molenheike!N5/Molenheike!$B5*10,3))</f>
        <v/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5</v>
      </c>
      <c r="B73" s="80" t="str">
        <f>Molenheike!A6</f>
        <v>Dhooghe Jan</v>
      </c>
      <c r="C73" s="32">
        <f>IF(Molenheike!AL6=0," ",SUM(E73:AD73))</f>
        <v>54.815000000000005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 t="str">
        <f>IF(Molenheike!K6=(""),(""),ROUND(Molenheike!K6/Molenheike!$B6*10,3))</f>
        <v/>
      </c>
      <c r="N73" s="36" t="str">
        <f>IF(Molenheike!L6=(""),(""),ROUND(Molenheike!L6/Molenheike!$B6*10,3))</f>
        <v/>
      </c>
      <c r="O73" s="36" t="str">
        <f>IF(Molenheike!M6=(""),(""),ROUND(Molenheike!M6/Molenheike!$B6*10,3))</f>
        <v/>
      </c>
      <c r="P73" s="36" t="str">
        <f>IF(Molenheike!N6=(""),(""),ROUND(Molenheike!N6/Molenheike!$B6*10,3))</f>
        <v/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6</v>
      </c>
      <c r="B74" s="28" t="str">
        <f>Molenheike!A7</f>
        <v>Keuppens Marc</v>
      </c>
      <c r="C74" s="32">
        <f>IF(Molenheike!AL7=0," ",SUM(E74:AD74))</f>
        <v>71.001000000000005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 t="str">
        <f>IF(Molenheike!L7=(""),(""),ROUND(Molenheike!L7/Molenheike!$B7*10,3))</f>
        <v/>
      </c>
      <c r="O74" s="36" t="str">
        <f>IF(Molenheike!M7=(""),(""),ROUND(Molenheike!M7/Molenheike!$B7*10,3))</f>
        <v/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5</v>
      </c>
      <c r="B75" s="28" t="str">
        <f>Molenheike!A8</f>
        <v>Lambrechts Ferdy</v>
      </c>
      <c r="C75" s="32">
        <f>IF(Molenheike!AL8=0," ",SUM(E75:AD75))</f>
        <v>48.11399999999999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 t="str">
        <f>IF(Molenheike!K8=(""),(""),ROUND(Molenheike!K8/Molenheike!$B8*10,3))</f>
        <v/>
      </c>
      <c r="N75" s="36" t="str">
        <f>IF(Molenheike!L8=(""),(""),ROUND(Molenheike!L8/Molenheike!$B8*10,3))</f>
        <v/>
      </c>
      <c r="O75" s="36" t="str">
        <f>IF(Molenheike!M8=(""),(""),ROUND(Molenheike!M8/Molenheike!$B8*10,3))</f>
        <v/>
      </c>
      <c r="P75" s="36" t="str">
        <f>IF(Molenheike!N8=(""),(""),ROUND(Molenheike!N8/Molenheike!$B8*10,3))</f>
        <v/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5</v>
      </c>
      <c r="B76" s="28" t="str">
        <f>Molenheike!A9</f>
        <v>Nelen Marc</v>
      </c>
      <c r="C76" s="32">
        <f>IF(Molenheike!AL9=0," ",SUM(E76:AD76))</f>
        <v>38.75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 t="str">
        <f>IF(Molenheike!L9=(""),(""),ROUND(Molenheike!L9/Molenheike!$B9*10,3))</f>
        <v/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7</v>
      </c>
      <c r="B77" s="28" t="str">
        <f>Molenheike!A10</f>
        <v>Neys Jan</v>
      </c>
      <c r="C77" s="32">
        <f>IF(Molenheike!AL10=0," ",SUM(E77:AD77))</f>
        <v>71.25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 t="str">
        <f>IF(Molenheike!K10=(""),(""),ROUND(Molenheike!K10/Molenheike!$B10*10,3))</f>
        <v/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6</v>
      </c>
      <c r="B78" s="28" t="str">
        <f>Molenheike!A11</f>
        <v>Van Ginderen Jef</v>
      </c>
      <c r="C78" s="32">
        <f>IF(Molenheike!AL11=0," ",SUM(E78:AD78))</f>
        <v>50.926000000000002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 t="str">
        <f>IF(Molenheike!K11=(""),(""),ROUND(Molenheike!K11/Molenheike!$B11*10,3))</f>
        <v/>
      </c>
      <c r="N78" s="36" t="str">
        <f>IF(Molenheike!L11=(""),(""),ROUND(Molenheike!L11/Molenheike!$B11*10,3))</f>
        <v/>
      </c>
      <c r="O78" s="36" t="str">
        <f>IF(Molenheike!M11=(""),(""),ROUND(Molenheike!M11/Molenheike!$B11*10,3))</f>
        <v/>
      </c>
      <c r="P78" s="36" t="str">
        <f>IF(Molenheike!N11=(""),(""),ROUND(Molenheike!N11/Molenheike!$B11*10,3))</f>
        <v/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5</v>
      </c>
      <c r="B79" s="28" t="str">
        <f>Molenheike!A12</f>
        <v>Van Ginderen Willy</v>
      </c>
      <c r="C79" s="32">
        <f>IF(Molenheike!AL12=0," ",SUM(E79:AD79))</f>
        <v>42.161000000000001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 t="str">
        <f>IF(Molenheike!K12=(""),(""),ROUND(Molenheike!K12/Molenheike!$B12*10,3))</f>
        <v/>
      </c>
      <c r="N79" s="36" t="str">
        <f>IF(Molenheike!L12=(""),(""),ROUND(Molenheike!L12/Molenheike!$B12*10,3))</f>
        <v/>
      </c>
      <c r="O79" s="36" t="str">
        <f>IF(Molenheike!M12=(""),(""),ROUND(Molenheike!M12/Molenheike!$B12*10,3))</f>
        <v/>
      </c>
      <c r="P79" s="36" t="str">
        <f>IF(Molenheike!N12=(""),(""),ROUND(Molenheike!N12/Molenheike!$B12*10,3))</f>
        <v/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7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 t="str">
        <f t="shared" si="39"/>
        <v xml:space="preserve"> </v>
      </c>
      <c r="N80" s="36" t="str">
        <f t="shared" si="39"/>
        <v xml:space="preserve"> </v>
      </c>
      <c r="O80" s="36" t="str">
        <f t="shared" si="39"/>
        <v xml:space="preserve"> </v>
      </c>
      <c r="P80" s="36" t="str">
        <f t="shared" si="39"/>
        <v xml:space="preserve"> 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460.35599999999999</v>
      </c>
      <c r="D81" s="227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 t="str">
        <f t="shared" si="40"/>
        <v xml:space="preserve"> </v>
      </c>
      <c r="N81" s="40" t="str">
        <f t="shared" si="40"/>
        <v xml:space="preserve"> </v>
      </c>
      <c r="O81" s="40" t="str">
        <f t="shared" si="40"/>
        <v xml:space="preserve"> </v>
      </c>
      <c r="P81" s="40" t="str">
        <f t="shared" si="40"/>
        <v xml:space="preserve"> 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7</v>
      </c>
      <c r="B83" s="31" t="s">
        <v>27</v>
      </c>
      <c r="E83" s="27">
        <v>1</v>
      </c>
      <c r="F83" s="27">
        <v>2</v>
      </c>
      <c r="G83" s="27">
        <v>3</v>
      </c>
      <c r="H83" s="2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7</v>
      </c>
      <c r="B84" s="28" t="str">
        <f>Nispen!A4</f>
        <v>Bastiaensen Jan</v>
      </c>
      <c r="C84" s="32">
        <f>IF(Nispen!AL4=0," ",SUM(E84:AD84))</f>
        <v>72.901999999999987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 t="str">
        <f>IF(Nispen!K4=(""),(""),ROUND(Nispen!K4/Nispen!$B4*10,3))</f>
        <v/>
      </c>
      <c r="N84" s="36" t="str">
        <f>IF(Nispen!L4=(""),(""),ROUND(Nispen!L4/Nispen!$B4*10,3))</f>
        <v/>
      </c>
      <c r="O84" s="36" t="str">
        <f>IF(Nispen!M4=(""),(""),ROUND(Nispen!M4/Nispen!$B4*10,3))</f>
        <v/>
      </c>
      <c r="P84" s="36" t="str">
        <f>IF(Nispen!N4=(""),(""),ROUND(Nispen!N4/Nispen!$B4*10,3))</f>
        <v/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5</v>
      </c>
      <c r="B85" s="28" t="str">
        <f>Nispen!A5</f>
        <v>Botermans Jan</v>
      </c>
      <c r="C85" s="32">
        <f>IF(Nispen!AL5=0," ",SUM(E85:AD85))</f>
        <v>42.917000000000002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 t="str">
        <f>IF(Nispen!K5=(""),(""),ROUND(Nispen!K5/Nispen!$B5*10,3))</f>
        <v/>
      </c>
      <c r="N85" s="36" t="str">
        <f>IF(Nispen!L5=(""),(""),ROUND(Nispen!L5/Nispen!$B5*10,3))</f>
        <v/>
      </c>
      <c r="O85" s="36" t="str">
        <f>IF(Nispen!M5=(""),(""),ROUND(Nispen!M5/Nispen!$B5*10,3))</f>
        <v/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8</v>
      </c>
      <c r="B86" s="28" t="str">
        <f>Nispen!A6</f>
        <v>Brouwers Vic</v>
      </c>
      <c r="C86" s="32">
        <f>IF(Nispen!AL6=0," ",SUM(E86:AD86))</f>
        <v>81.47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 t="str">
        <f>IF(Nispen!K6=(""),(""),ROUND(Nispen!K6/Nispen!$B6*10,3))</f>
        <v/>
      </c>
      <c r="N86" s="36" t="str">
        <f>IF(Nispen!L6=(""),(""),ROUND(Nispen!L6/Nispen!$B6*10,3))</f>
        <v/>
      </c>
      <c r="O86" s="36" t="str">
        <f>IF(Nispen!M6=(""),(""),ROUND(Nispen!M6/Nispen!$B6*10,3))</f>
        <v/>
      </c>
      <c r="P86" s="36" t="str">
        <f>IF(Nispen!N6=(""),(""),ROUND(Nispen!N6/Nispen!$B6*10,3))</f>
        <v/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3</v>
      </c>
      <c r="B87" s="80" t="str">
        <f>Nispen!A7</f>
        <v>Cappaert Ivan</v>
      </c>
      <c r="C87" s="32">
        <f>IF(Nispen!AL7=0," ",SUM(E87:AD87))</f>
        <v>34.856999999999999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 t="str">
        <f>IF(Nispen!M7=(""),(""),ROUND(Nispen!M7/Nispen!$B7*10,3))</f>
        <v/>
      </c>
      <c r="P87" s="36" t="str">
        <f>IF(Nispen!N7=(""),(""),ROUND(Nispen!N7/Nispen!$B7*10,3))</f>
        <v/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3</v>
      </c>
      <c r="B88" s="28" t="str">
        <f>Nispen!A8</f>
        <v xml:space="preserve">Kerstens Jac     </v>
      </c>
      <c r="C88" s="32">
        <f>IF(Nispen!AL8=0," ",SUM(E88:AD88))</f>
        <v>26.286000000000001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36" t="str">
        <f>IF(Nispen!J8=(""),(""),ROUND(Nispen!J8/Nispen!$B8*10,3))</f>
        <v/>
      </c>
      <c r="M88" s="36" t="str">
        <f>IF(Nispen!K8=(""),(""),ROUND(Nispen!K8/Nispen!$B8*10,3))</f>
        <v/>
      </c>
      <c r="N88" s="36" t="str">
        <f>IF(Nispen!L8=(""),(""),ROUND(Nispen!L8/Nispen!$B8*10,3))</f>
        <v/>
      </c>
      <c r="O88" s="36" t="str">
        <f>IF(Nispen!M8=(""),(""),ROUND(Nispen!M8/Nispen!$B8*10,3))</f>
        <v/>
      </c>
      <c r="P88" s="36" t="str">
        <f>IF(Nispen!N8=(""),(""),ROUND(Nispen!N8/Nispen!$B8*10,3))</f>
        <v/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36">
        <f>IF(Nispen!E9=(""),(""),ROUND(Nispen!E9/20*10,3))</f>
        <v>12</v>
      </c>
      <c r="H89" s="36">
        <f>IF(Nispen!F9=(""),(""),ROUND(Nispen!F9/Nispen!$B9*10,3))</f>
        <v>11</v>
      </c>
      <c r="I89" s="36" t="str">
        <f>IF(Nispen!G9=(""),(""),ROUND(Nispen!G9/Nispen!$B9*10,3))</f>
        <v/>
      </c>
      <c r="J89" s="36">
        <f>IF(Nispen!H9=(""),(""),ROUND(Nispen!H9/Nispen!$B9*10,3))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6</v>
      </c>
      <c r="B90" s="34" t="str">
        <f>Nispen!A10</f>
        <v>Martens Gerrit [OS]</v>
      </c>
      <c r="C90" s="32">
        <f>IF(Nispen!AL10=0," ",SUM(E90:AD90))</f>
        <v>62.665999999999997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 t="str">
        <f>IF(Nispen!K10=(""),(""),ROUND(Nispen!K10/Nispen!$B10*10,3))</f>
        <v/>
      </c>
      <c r="N90" s="36" t="str">
        <f>IF(Nispen!L10=(""),(""),ROUND(Nispen!L10/Nispen!$B10*10,3))</f>
        <v/>
      </c>
      <c r="O90" s="36" t="str">
        <f>IF(Nispen!M10=(""),(""),ROUND(Nispen!M10/Nispen!$B10*10,3))</f>
        <v/>
      </c>
      <c r="P90" s="36" t="str">
        <f>IF(Nispen!N10=(""),(""),ROUND(Nispen!N10/Nispen!$B10*10,3))</f>
        <v/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5</v>
      </c>
      <c r="B92" s="28" t="str">
        <f>Nispen!A12</f>
        <v xml:space="preserve">Raats Antoon </v>
      </c>
      <c r="C92" s="32">
        <f>IF(Nispen!AL12=0," ",SUM(E92:AD92))</f>
        <v>46.316999999999993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 t="str">
        <f>IF(Nispen!N12=(""),(""),ROUND(Nispen!N12/Nispen!$B12*10,3))</f>
        <v/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5</v>
      </c>
      <c r="B93" s="28" t="str">
        <f>Nispen!A13</f>
        <v>Uijdehaag Nico</v>
      </c>
      <c r="C93" s="32">
        <f>IF(Nispen!AL13=0," ",SUM(E93:AD93))</f>
        <v>50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 t="str">
        <f>IF(Nispen!K13=(""),(""),ROUND(Nispen!K13/Nispen!$B13*10,3))</f>
        <v/>
      </c>
      <c r="N93" s="36" t="str">
        <f>IF(Nispen!L13=(""),(""),ROUND(Nispen!L13/Nispen!$B13*10,3))</f>
        <v/>
      </c>
      <c r="O93" s="36" t="str">
        <f>IF(Nispen!M13=(""),(""),ROUND(Nispen!M13/Nispen!$B13*10,3))</f>
        <v/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7" t="s">
        <v>292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 t="shared" si="46"/>
        <v>53.39</v>
      </c>
      <c r="M94" s="36" t="str">
        <f t="shared" si="46"/>
        <v xml:space="preserve"> </v>
      </c>
      <c r="N94" s="36" t="str">
        <f t="shared" si="46"/>
        <v xml:space="preserve"> </v>
      </c>
      <c r="O94" s="36" t="str">
        <f t="shared" si="46"/>
        <v xml:space="preserve"> </v>
      </c>
      <c r="P94" s="36" t="str">
        <f t="shared" si="46"/>
        <v xml:space="preserve"> 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476.96300000000002</v>
      </c>
      <c r="D95" s="217" t="s">
        <v>292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 t="str">
        <f t="shared" ref="M95" si="54">IF(M94=(" "),(" "),L95+M94)</f>
        <v xml:space="preserve"> </v>
      </c>
      <c r="N95" s="40" t="str">
        <f t="shared" ref="N95" si="55">IF(N94=(" "),(" "),M95+N94)</f>
        <v xml:space="preserve"> </v>
      </c>
      <c r="O95" s="40" t="str">
        <f t="shared" ref="O95" si="56">IF(O94=(" "),(" "),N95+O94)</f>
        <v xml:space="preserve"> </v>
      </c>
      <c r="P95" s="40" t="str">
        <f t="shared" ref="P95" si="57">IF(P94=(" "),(" "),O95+P94)</f>
        <v xml:space="preserve"> 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4</v>
      </c>
      <c r="B98" s="28" t="str">
        <f>Oudeglorie!A4</f>
        <v xml:space="preserve">Aerden Carl  </v>
      </c>
      <c r="C98" s="32">
        <f>IF(Oudeglorie!AL4=0," ",SUM(E98:AD98))</f>
        <v>47.084000000000003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 t="str">
        <f>IF(Oudeglorie!K4=(""),(""),ROUND(Oudeglorie!K4/Oudeglorie!$B4*10,3))</f>
        <v/>
      </c>
      <c r="N98" s="36" t="str">
        <f>IF(Oudeglorie!L4=(""),(""),ROUND(Oudeglorie!L4/Oudeglorie!$B4*10,3))</f>
        <v/>
      </c>
      <c r="O98" s="36" t="str">
        <f>IF(Oudeglorie!M4=(""),(""),ROUND(Oudeglorie!M4/Oudeglorie!$B4*10,3))</f>
        <v/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2</v>
      </c>
      <c r="B99" s="28" t="str">
        <f>Oudeglorie!A5</f>
        <v xml:space="preserve">Beyers Jos    </v>
      </c>
      <c r="C99" s="32">
        <f>IF(Oudeglorie!AL5=0," ",SUM(E99:AD99))</f>
        <v>18.888999999999999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 t="str">
        <f>IF(Oudeglorie!K5=(""),(""),ROUND(Oudeglorie!K5/Oudeglorie!$B5*10,3))</f>
        <v/>
      </c>
      <c r="N99" s="36" t="str">
        <f>IF(Oudeglorie!L5=(""),(""),ROUND(Oudeglorie!L5/Oudeglorie!$B5*10,3))</f>
        <v/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4</v>
      </c>
      <c r="B101" s="28" t="str">
        <f>Oudeglorie!A7</f>
        <v>Braat Guido</v>
      </c>
      <c r="C101" s="32">
        <f>IF(Oudeglorie!AL7=0," ",SUM(E101:AD101))</f>
        <v>37.930999999999997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 t="str">
        <f>IF(Oudeglorie!K7=(""),(""),ROUND(Oudeglorie!K7/Oudeglorie!$B7*10,3))</f>
        <v/>
      </c>
      <c r="N101" s="36" t="str">
        <f>IF(Oudeglorie!L7=(""),(""),ROUND(Oudeglorie!L7/Oudeglorie!$B7*10,3))</f>
        <v/>
      </c>
      <c r="O101" s="36" t="str">
        <f>IF(Oudeglorie!M7=(""),(""),ROUND(Oudeglorie!M7/Oudeglorie!$B7*10,3))</f>
        <v/>
      </c>
      <c r="P101" s="36" t="str">
        <f>IF(Oudeglorie!N7=(""),(""),ROUND(Oudeglorie!N7/Oudeglorie!$B7*10,3))</f>
        <v/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2</v>
      </c>
      <c r="B102" s="28" t="str">
        <f>Oudeglorie!A8</f>
        <v>Cleeren Guido</v>
      </c>
      <c r="C102" s="32">
        <f>IF(Oudeglorie!AL8=0," ",SUM(E102:AD102))</f>
        <v>15.882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 t="str">
        <f>IF(Oudeglorie!M8=(""),(""),ROUND(Oudeglorie!M8/Oudeglorie!$B8*10,3))</f>
        <v/>
      </c>
      <c r="P102" s="36" t="str">
        <f>IF(Oudeglorie!N8=(""),(""),ROUND(Oudeglorie!N8/Oudeglorie!$B8*10,3))</f>
        <v/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6</v>
      </c>
      <c r="B103" s="28" t="str">
        <f>Oudeglorie!A9</f>
        <v>Gommers Jac</v>
      </c>
      <c r="C103" s="32">
        <f>IF(Oudeglorie!AL9=0," ",SUM(E103:AD103))</f>
        <v>55.000999999999998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3</v>
      </c>
      <c r="B104" s="28" t="str">
        <f>Oudeglorie!A10</f>
        <v>Jacobs Alfons</v>
      </c>
      <c r="C104" s="32">
        <f>IF(Oudeglorie!AL10=0," ",SUM(E104:AD104))</f>
        <v>20.356999999999999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 t="str">
        <f>IF(Oudeglorie!K10=(""),(""),ROUND(Oudeglorie!K10/Oudeglorie!$B10*10,3))</f>
        <v/>
      </c>
      <c r="N104" s="36" t="str">
        <f>IF(Oudeglorie!L10=(""),(""),ROUND(Oudeglorie!L10/Oudeglorie!$B10*10,3))</f>
        <v/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4</v>
      </c>
      <c r="B105" s="28" t="str">
        <f>Oudeglorie!A11</f>
        <v>Jacobs Frans</v>
      </c>
      <c r="C105" s="32">
        <f>IF(Oudeglorie!AL11=0," ",SUM(E105:AD105))</f>
        <v>44.515000000000001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 t="str">
        <f>IF(Oudeglorie!N11=(""),(""),ROUND(Oudeglorie!N11/Oudeglorie!$B11*10,3))</f>
        <v/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4</v>
      </c>
      <c r="B106" s="28" t="str">
        <f>Oudeglorie!A12</f>
        <v>Nelen Frans</v>
      </c>
      <c r="C106" s="32">
        <f>IF(Oudeglorie!AL12=0," ",SUM(E106:AD106))</f>
        <v>45.6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 t="str">
        <f>IF(Oudeglorie!M12=(""),(""),ROUND(Oudeglorie!M12/Oudeglorie!$B12*10,3))</f>
        <v/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2</v>
      </c>
      <c r="B107" s="38" t="str">
        <f>Oudeglorie!A13</f>
        <v>Nelen Jef (ns)</v>
      </c>
      <c r="C107" s="32">
        <f>IF(Oudeglorie!AL13=0," ",SUM(E107:AD107))</f>
        <v>21.2</v>
      </c>
      <c r="E107" s="36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36">
        <f>IF(Oudeglorie!J13=(""),(""),ROUND(Oudeglorie!J13/Oudeglorie!$B13*10,3))</f>
        <v>8</v>
      </c>
      <c r="M107" s="36" t="str">
        <f>IF(Oudeglorie!K13=(""),(""),ROUND(Oudeglorie!K13/Oudeglorie!$B13*10,3))</f>
        <v/>
      </c>
      <c r="N107" s="36" t="str">
        <f>IF(Oudeglorie!L13=(""),(""),ROUND(Oudeglorie!L13/Oudeglorie!$B13*10,3))</f>
        <v/>
      </c>
      <c r="O107" s="36" t="str">
        <f>IF(Oudeglorie!M13=(""),(""),ROUND(Oudeglorie!M13/Oudeglorie!$B13*10,3))</f>
        <v/>
      </c>
      <c r="P107" s="36" t="str">
        <f>IF(Oudeglorie!N13=(""),(""),ROUND(Oudeglorie!N13/Oudeglorie!$B13*10,3))</f>
        <v/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3</v>
      </c>
      <c r="B108" s="28" t="str">
        <f>Oudeglorie!A14</f>
        <v xml:space="preserve">Somers Ludo </v>
      </c>
      <c r="C108" s="32">
        <f>IF(Oudeglorie!AL14=0," ",SUM(E108:AD108))</f>
        <v>23.823999999999998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 t="str">
        <f>IF(Oudeglorie!K14=(""),(""),ROUND(Oudeglorie!K14/Oudeglorie!$B14*10,3))</f>
        <v/>
      </c>
      <c r="N108" s="36" t="str">
        <f>IF(Oudeglorie!L14=(""),(""),ROUND(Oudeglorie!L14/Oudeglorie!$B14*10,3))</f>
        <v/>
      </c>
      <c r="O108" s="36" t="str">
        <f>IF(Oudeglorie!M14=(""),(""),ROUND(Oudeglorie!M14/Oudeglorie!$B14*10,3))</f>
        <v/>
      </c>
      <c r="P108" s="36" t="str">
        <f>IF(Oudeglorie!N14=(""),(""),ROUND(Oudeglorie!N14/Oudeglorie!$B14*10,3))</f>
        <v/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4</v>
      </c>
      <c r="B109" s="28" t="str">
        <f>Oudeglorie!A15</f>
        <v xml:space="preserve">Van Ginderen Ludo </v>
      </c>
      <c r="C109" s="32">
        <f>IF(Oudeglorie!AL15=0," ",SUM(E109:AD109))</f>
        <v>41.175999999999995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 t="str">
        <f>IF(Oudeglorie!M15=(""),(""),ROUND(Oudeglorie!M15/Oudeglorie!$B15*10,3))</f>
        <v/>
      </c>
      <c r="P109" s="36" t="str">
        <f>IF(Oudeglorie!N15=(""),(""),ROUND(Oudeglorie!N15/Oudeglorie!$B15*10,3))</f>
        <v/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4</v>
      </c>
      <c r="B111" s="28" t="str">
        <f>Oudeglorie!A17</f>
        <v>Willemsen Willy</v>
      </c>
      <c r="C111" s="32">
        <f>IF(Oudeglorie!AL17=0," ",SUM(E111:AD111))</f>
        <v>48.378999999999998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 t="str">
        <f>IF(Oudeglorie!M17=(""),(""),ROUND(Oudeglorie!M17/Oudeglorie!$B17*10,3))</f>
        <v/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7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 t="str">
        <f t="shared" si="73"/>
        <v xml:space="preserve"> </v>
      </c>
      <c r="N112" s="36" t="str">
        <f t="shared" si="73"/>
        <v xml:space="preserve"> </v>
      </c>
      <c r="O112" s="36" t="str">
        <f t="shared" si="73"/>
        <v xml:space="preserve"> </v>
      </c>
      <c r="P112" s="36" t="str">
        <f t="shared" si="73"/>
        <v xml:space="preserve"> 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474.78900000000004</v>
      </c>
      <c r="D113" s="227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 t="str">
        <f t="shared" si="74"/>
        <v xml:space="preserve"> </v>
      </c>
      <c r="N113" s="40" t="str">
        <f t="shared" si="74"/>
        <v xml:space="preserve"> </v>
      </c>
      <c r="O113" s="40" t="str">
        <f t="shared" si="74"/>
        <v xml:space="preserve"> </v>
      </c>
      <c r="P113" s="40" t="str">
        <f t="shared" si="74"/>
        <v xml:space="preserve"> 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5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5</v>
      </c>
      <c r="B116" s="28" t="str">
        <f>Meeuwkes!A4</f>
        <v>Bove René</v>
      </c>
      <c r="C116" s="32">
        <f>IF(Meeuwkes!AL4=0," ",SUM(E116:AD116))</f>
        <v>73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 t="str">
        <f>IF(Meeuwkes!K4=(""),(""),ROUND(Meeuwkes!K4/Meeuwkes!$B4*10,3))</f>
        <v/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3</v>
      </c>
      <c r="B117" s="28" t="str">
        <f>Meeuwkes!A5</f>
        <v>Buggenhout Danny</v>
      </c>
      <c r="C117" s="32">
        <f>IF(Meeuwkes!AL5=0," ",SUM(E117:AD117))</f>
        <v>30.731999999999999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 t="str">
        <f>IF(Meeuwkes!M5=(""),(""),ROUND(Meeuwkes!M5/Meeuwkes!$B5*10,3))</f>
        <v/>
      </c>
      <c r="P117" s="36" t="str">
        <f>IF(Meeuwkes!N5=(""),(""),ROUND(Meeuwkes!N5/Meeuwkes!$B5*10,3))</f>
        <v/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2</v>
      </c>
      <c r="B118" s="28" t="str">
        <f>Meeuwkes!A6</f>
        <v>Deckx Achiel</v>
      </c>
      <c r="C118" s="32">
        <f>IF(Meeuwkes!AL6=0," ",SUM(E118:AD118))</f>
        <v>20.789000000000001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 t="str">
        <f>IF(Meeuwkes!K6=(""),(""),ROUND(Meeuwkes!K6/Meeuwkes!$B6*10,3))</f>
        <v/>
      </c>
      <c r="N118" s="36" t="str">
        <f>IF(Meeuwkes!L6=(""),(""),ROUND(Meeuwkes!L6/Meeuwkes!$B6*10,3))</f>
        <v/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7</v>
      </c>
      <c r="B119" s="28" t="str">
        <f>Meeuwkes!A7</f>
        <v>Herreygers Leon</v>
      </c>
      <c r="C119" s="32">
        <f>IF(Meeuwkes!AL7=0," ",SUM(E119:AD119))</f>
        <v>78.8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 t="str">
        <f>IF(Meeuwkes!L7=(""),(""),ROUND(Meeuwkes!L7/Meeuwkes!$B7*10,3))</f>
        <v/>
      </c>
      <c r="O119" s="36" t="str">
        <f>IF(Meeuwkes!M7=(""),(""),ROUND(Meeuwkes!M7/Meeuwkes!$B7*10,3))</f>
        <v/>
      </c>
      <c r="P119" s="36" t="str">
        <f>IF(Meeuwkes!N7=(""),(""),ROUND(Meeuwkes!N7/Meeuwkes!$B7*10,3))</f>
        <v/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6</v>
      </c>
      <c r="B120" s="28" t="str">
        <f>Meeuwkes!A8</f>
        <v>Loos Piet</v>
      </c>
      <c r="C120" s="32">
        <f>IF(Meeuwkes!AL8=0," ",SUM(E120:AD120))</f>
        <v>35.334000000000003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 t="str">
        <f>IF(Meeuwkes!N8=(""),(""),ROUND(Meeuwkes!N8/Meeuwkes!$B8*10,3))</f>
        <v/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5</v>
      </c>
      <c r="B121" s="80" t="str">
        <f>Meeuwkes!A9</f>
        <v xml:space="preserve">Quick Louis </v>
      </c>
      <c r="C121" s="32">
        <f>IF(Meeuwkes!AL9=0," ",SUM(E121:AD121))</f>
        <v>46.155000000000001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 t="str">
        <f>IF(Meeuwkes!K9=(""),(""),ROUND(Meeuwkes!K9/Meeuwkes!$B9*10,3))</f>
        <v/>
      </c>
      <c r="N121" s="36" t="str">
        <f>IF(Meeuwkes!L9=(""),(""),ROUND(Meeuwkes!L9/Meeuwkes!$B9*10,3))</f>
        <v/>
      </c>
      <c r="O121" s="36" t="str">
        <f>IF(Meeuwkes!M9=(""),(""),ROUND(Meeuwkes!M9/Meeuwkes!$B9*10,3))</f>
        <v/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2</v>
      </c>
      <c r="B122" s="28" t="str">
        <f>Meeuwkes!A10</f>
        <v>Reyssens Martin</v>
      </c>
      <c r="C122" s="32">
        <f>IF(Meeuwkes!AL10=0," ",SUM(E122:AD122))</f>
        <v>18.696000000000002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 t="str">
        <f>IF(Meeuwkes!K10=(""),(""),ROUND(Meeuwkes!K10/Meeuwkes!$B10*10,3))</f>
        <v/>
      </c>
      <c r="N122" s="36" t="str">
        <f>IF(Meeuwkes!L10=(""),(""),ROUND(Meeuwkes!L10/Meeuwkes!$B10*10,3))</f>
        <v/>
      </c>
      <c r="O122" s="36" t="str">
        <f>IF(Meeuwkes!M10=(""),(""),ROUND(Meeuwkes!M10/Meeuwkes!$B10*10,3))</f>
        <v/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4</v>
      </c>
      <c r="B123" s="28" t="str">
        <f>Meeuwkes!A11</f>
        <v xml:space="preserve">Schenk André </v>
      </c>
      <c r="C123" s="32">
        <f>IF(Meeuwkes!AL11=0," ",SUM(E123:AD123))</f>
        <v>46.25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 t="str">
        <f>IF(Meeuwkes!L11=(""),(""),ROUND(Meeuwkes!L11/Meeuwkes!$B11*10,3))</f>
        <v/>
      </c>
      <c r="O123" s="36" t="str">
        <f>IF(Meeuwkes!M11=(""),(""),ROUND(Meeuwkes!M11/Meeuwkes!$B11*10,3))</f>
        <v/>
      </c>
      <c r="P123" s="36" t="str">
        <f>IF(Meeuwkes!N11=(""),(""),ROUND(Meeuwkes!N11/Meeuwkes!$B11*10,3))</f>
        <v/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4</v>
      </c>
      <c r="B125" s="28" t="str">
        <f>Meeuwkes!A13</f>
        <v xml:space="preserve">De Roomer Jan    </v>
      </c>
      <c r="C125" s="32">
        <f>IF(Meeuwkes!AL13=0," ",SUM(E125:AD125))</f>
        <v>32.963999999999999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 t="str">
        <f>IF(Meeuwkes!K13=(""),(""),ROUND(Meeuwkes!K13/Meeuwkes!$B13*10,3))</f>
        <v/>
      </c>
      <c r="N125" s="36" t="str">
        <f>IF(Meeuwkes!L13=(""),(""),ROUND(Meeuwkes!L13/Meeuwkes!$B13*10,3))</f>
        <v/>
      </c>
      <c r="O125" s="36" t="str">
        <f>IF(Meeuwkes!M13=(""),(""),ROUND(Meeuwkes!M13/Meeuwkes!$B13*10,3))</f>
        <v/>
      </c>
      <c r="P125" s="36" t="str">
        <f>IF(Meeuwkes!N13=(""),(""),ROUND(Meeuwkes!N13/Meeuwkes!$B13*10,3))</f>
        <v/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3</v>
      </c>
      <c r="B126" s="28" t="str">
        <f>Meeuwkes!A14</f>
        <v>Van Hees Eduard</v>
      </c>
      <c r="C126" s="32">
        <f>IF(Meeuwkes!AL14=0," ",SUM(E126:AD126))</f>
        <v>28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 t="str">
        <f>IF(Meeuwkes!K14=(""),(""),ROUND(Meeuwkes!K14/Meeuwkes!$B14*10,3))</f>
        <v/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5</v>
      </c>
      <c r="B127" s="28" t="str">
        <f>Meeuwkes!A15</f>
        <v xml:space="preserve">Schenk Stanny  </v>
      </c>
      <c r="C127" s="32">
        <f>IF(Meeuwkes!AL15=0," ",SUM(E127:AD127))</f>
        <v>54.375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 t="str">
        <f>IF(Meeuwkes!M15=(""),(""),ROUND(Meeuwkes!M15/Meeuwkes!$B15*10,3))</f>
        <v/>
      </c>
      <c r="P127" s="36" t="str">
        <f>IF(Meeuwkes!N15=(""),(""),ROUND(Meeuwkes!N15/Meeuwkes!$B15*10,3))</f>
        <v/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7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 t="str">
        <f t="shared" si="77"/>
        <v xml:space="preserve"> </v>
      </c>
      <c r="N128" s="36" t="str">
        <f t="shared" si="77"/>
        <v xml:space="preserve"> </v>
      </c>
      <c r="O128" s="36" t="str">
        <f t="shared" si="77"/>
        <v xml:space="preserve"> </v>
      </c>
      <c r="P128" s="36" t="str">
        <f t="shared" si="77"/>
        <v xml:space="preserve"> 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480.56600000000003</v>
      </c>
      <c r="D129" s="217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 t="str">
        <f t="shared" ref="M129" si="86">IF(M128=(" "),(" "),L129+M128)</f>
        <v xml:space="preserve"> </v>
      </c>
      <c r="N129" s="40" t="str">
        <f t="shared" ref="N129" si="87">IF(N128=(" "),(" "),M129+N128)</f>
        <v xml:space="preserve"> </v>
      </c>
      <c r="O129" s="40" t="str">
        <f t="shared" ref="O129" si="88">IF(O128=(" "),(" "),N129+O128)</f>
        <v xml:space="preserve"> </v>
      </c>
      <c r="P129" s="40" t="str">
        <f t="shared" ref="P129" si="89">IF(P128=(" "),(" "),O129+P128)</f>
        <v xml:space="preserve"> 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4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5</v>
      </c>
      <c r="B132" s="28" t="str">
        <f>Rooiebal1!A4</f>
        <v>Aerts Jan</v>
      </c>
      <c r="C132" s="32">
        <f>IF(Rooiebal1!AL4=0," ",SUM(E132:AD132))</f>
        <v>56.842999999999996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 t="str">
        <f>IF(Rooiebal1!K4=(""),(""),ROUND(Rooiebal1!K4/Rooiebal1!$B4*10,3))</f>
        <v/>
      </c>
      <c r="N132" s="36" t="str">
        <f>IF(Rooiebal1!L4=(""),(""),ROUND(Rooiebal1!L4/Rooiebal1!$B4*10,3))</f>
        <v/>
      </c>
      <c r="O132" s="36" t="str">
        <f>IF(Rooiebal1!M4=(""),(""),ROUND(Rooiebal1!M4/Rooiebal1!$B4*10,3))</f>
        <v/>
      </c>
      <c r="P132" s="36" t="str">
        <f>IF(Rooiebal1!N4=(""),(""),ROUND(Rooiebal1!N4/Rooiebal1!$B4*10,3))</f>
        <v/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7</v>
      </c>
      <c r="B133" s="28" t="str">
        <f>Rooiebal1!A5</f>
        <v xml:space="preserve">Dictus Peter       </v>
      </c>
      <c r="C133" s="32">
        <f>IF(Rooiebal1!AL5=0," ",SUM(E133:AD133))</f>
        <v>51.667000000000002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 t="str">
        <f>IF(Rooiebal1!L5=(""),(""),ROUND(Rooiebal1!L5/Rooiebal1!$B5*10,3))</f>
        <v/>
      </c>
      <c r="O133" s="36" t="str">
        <f>IF(Rooiebal1!M5=(""),(""),ROUND(Rooiebal1!M5/Rooiebal1!$B5*10,3))</f>
        <v/>
      </c>
      <c r="P133" s="36" t="str">
        <f>IF(Rooiebal1!N5=(""),(""),ROUND(Rooiebal1!N5/Rooiebal1!$B5*10,3))</f>
        <v/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5</v>
      </c>
      <c r="B134" s="80" t="str">
        <f>Rooiebal1!A6</f>
        <v xml:space="preserve">Hereygers Cis     </v>
      </c>
      <c r="C134" s="32">
        <f>IF(Rooiebal1!AL6=0," ",SUM(E134:AD134))</f>
        <v>41.47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 t="str">
        <f>IF(Rooiebal1!K6=(""),(""),ROUND(Rooiebal1!K6/Rooiebal1!$B6*10,3))</f>
        <v/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4</v>
      </c>
      <c r="B135" s="28" t="str">
        <f>Rooiebal1!A7</f>
        <v xml:space="preserve">Karremans Dries  </v>
      </c>
      <c r="C135" s="32">
        <f>IF(Rooiebal1!AL7=0," ",SUM(E135:AD135))</f>
        <v>49.582999999999998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 t="str">
        <f>IF(Rooiebal1!M7=(""),(""),ROUND(Rooiebal1!M7/Rooiebal1!$B7*10,3))</f>
        <v/>
      </c>
      <c r="P135" s="36" t="str">
        <f>IF(Rooiebal1!N7=(""),(""),ROUND(Rooiebal1!N7/Rooiebal1!$B7*10,3))</f>
        <v/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4</v>
      </c>
      <c r="B136" s="28" t="str">
        <f>Rooiebal1!A8</f>
        <v xml:space="preserve">Nelen Ronny       </v>
      </c>
      <c r="C136" s="32">
        <f>IF(Rooiebal1!AL8=0," ",SUM(E136:AD136))</f>
        <v>38.484999999999999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 t="str">
        <f>IF(Rooiebal1!K8=(""),(""),ROUND(Rooiebal1!K8/Rooiebal1!$B8*10,3))</f>
        <v/>
      </c>
      <c r="N136" s="36" t="str">
        <f>IF(Rooiebal1!L8=(""),(""),ROUND(Rooiebal1!L8/Rooiebal1!$B8*10,3))</f>
        <v/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5</v>
      </c>
      <c r="B137" s="28" t="str">
        <f>Rooiebal1!A9</f>
        <v>Raeymakers Liliane</v>
      </c>
      <c r="C137" s="32">
        <f>IF(Rooiebal1!AL9=0," ",SUM(E137:AD137))</f>
        <v>55.716000000000001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 t="str">
        <f>IF(Rooiebal1!L9=(""),(""),ROUND(Rooiebal1!L9/Rooiebal1!$B9*10,3))</f>
        <v/>
      </c>
      <c r="O137" s="36" t="str">
        <f>IF(Rooiebal1!M9=(""),(""),ROUND(Rooiebal1!M9/Rooiebal1!$B9*10,3))</f>
        <v/>
      </c>
      <c r="P137" s="36" t="str">
        <f>IF(Rooiebal1!N9=(""),(""),ROUND(Rooiebal1!N9/Rooiebal1!$B9*10,3))</f>
        <v/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5</v>
      </c>
      <c r="B139" s="81" t="str">
        <f>Rooiebal1!A11</f>
        <v>Van Hooydonck René</v>
      </c>
      <c r="C139" s="32">
        <f>IF(Rooiebal1!AL11=0," ",SUM(E139:AD139))</f>
        <v>37.407999999999994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 t="str">
        <f>IF(Rooiebal1!K11=(""),(""),ROUND(Rooiebal1!K11/Rooiebal1!$B11*10,3))</f>
        <v/>
      </c>
      <c r="N139" s="36" t="str">
        <f>IF(Rooiebal1!L11=(""),(""),ROUND(Rooiebal1!L11/Rooiebal1!$B11*10,3))</f>
        <v/>
      </c>
      <c r="O139" s="36" t="str">
        <f>IF(Rooiebal1!M11=(""),(""),ROUND(Rooiebal1!M11/Rooiebal1!$B11*10,3))</f>
        <v/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6</v>
      </c>
      <c r="B140" s="81" t="str">
        <f>Rooiebal1!A12</f>
        <v>Van Oers Theo</v>
      </c>
      <c r="C140" s="32">
        <f>IF(Rooiebal1!AL12=0," ",SUM(E140:AD140))</f>
        <v>58.529000000000003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 t="str">
        <f>IF(Rooiebal1!K12=(""),(""),ROUND(Rooiebal1!K12/Rooiebal1!$B12*10,3))</f>
        <v/>
      </c>
      <c r="N140" s="36" t="str">
        <f>IF(Rooiebal1!L12=(""),(""),ROUND(Rooiebal1!L12/Rooiebal1!$B12*10,3))</f>
        <v/>
      </c>
      <c r="O140" s="36" t="str">
        <f>IF(Rooiebal1!M12=(""),(""),ROUND(Rooiebal1!M12/Rooiebal1!$B12*10,3))</f>
        <v/>
      </c>
      <c r="P140" s="36" t="str">
        <f>IF(Rooiebal1!N12=(""),(""),ROUND(Rooiebal1!N12/Rooiebal1!$B12*10,3))</f>
        <v/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5</v>
      </c>
      <c r="B141" s="28" t="str">
        <f>Rooiebal1!A13</f>
        <v>Vergouwen Willy</v>
      </c>
      <c r="C141" s="32">
        <f>IF(Rooiebal1!AL13=0," ",SUM(E141:AD141))</f>
        <v>39.143000000000001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 t="str">
        <f>IF(Rooiebal1!K13=(""),(""),ROUND(Rooiebal1!K13/Rooiebal1!$B13*10,3))</f>
        <v/>
      </c>
      <c r="N141" s="36" t="str">
        <f>IF(Rooiebal1!L13=(""),(""),ROUND(Rooiebal1!L13/Rooiebal1!$B13*10,3))</f>
        <v/>
      </c>
      <c r="O141" s="36" t="str">
        <f>IF(Rooiebal1!M13=(""),(""),ROUND(Rooiebal1!M13/Rooiebal1!$B13*10,3))</f>
        <v/>
      </c>
      <c r="P141" s="36" t="str">
        <f>IF(Rooiebal1!N13=(""),(""),ROUND(Rooiebal1!N13/Rooiebal1!$B13*10,3))</f>
        <v/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7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 t="str">
        <f t="shared" si="105"/>
        <v xml:space="preserve"> </v>
      </c>
      <c r="N142" s="36" t="str">
        <f t="shared" si="105"/>
        <v xml:space="preserve"> </v>
      </c>
      <c r="O142" s="36" t="str">
        <f t="shared" si="105"/>
        <v xml:space="preserve"> </v>
      </c>
      <c r="P142" s="36" t="str">
        <f t="shared" si="105"/>
        <v xml:space="preserve"> 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457.53899999999999</v>
      </c>
      <c r="D143" s="227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 t="str">
        <f t="shared" ref="M143" si="113">IF(M142=(" "),(" "),L143+M142)</f>
        <v xml:space="preserve"> </v>
      </c>
      <c r="N143" s="40" t="str">
        <f t="shared" ref="N143" si="114">IF(N142=(" "),(" "),M143+N142)</f>
        <v xml:space="preserve"> </v>
      </c>
      <c r="O143" s="40" t="str">
        <f t="shared" ref="O143" si="115">IF(O142=(" "),(" "),N143+O142)</f>
        <v xml:space="preserve"> </v>
      </c>
      <c r="P143" s="40" t="str">
        <f t="shared" ref="P143" si="116">IF(P142=(" "),(" "),O143+P142)</f>
        <v xml:space="preserve"> 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2</v>
      </c>
      <c r="B146" s="128" t="str">
        <f>Rooiebal2!A4</f>
        <v xml:space="preserve">Costermans Leo   </v>
      </c>
      <c r="C146" s="32">
        <f>IF(Rooiebal2!AL4=0," ",SUM(E146:AD146))</f>
        <v>24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 t="str">
        <f>IF(Rooiebal2!K4=(""),(""),ROUND(Rooiebal2!K4/Rooiebal2!$B4*10,3))</f>
        <v/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 t="str">
        <f>IF(Rooiebal2!N4=(""),(""),ROUND(Rooiebal2!N4/Rooiebal2!$B4*10,3))</f>
        <v/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4</v>
      </c>
      <c r="B147" s="128" t="str">
        <f>Rooiebal2!A5</f>
        <v>Dictus Fred</v>
      </c>
      <c r="C147" s="32">
        <f>IF(Rooiebal2!AL5=0," ",SUM(E147:AD147))</f>
        <v>37.627000000000002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 t="str">
        <f>IF(Rooiebal2!K5=(""),(""),ROUND(Rooiebal2!K5/Rooiebal2!$B5*10,3))</f>
        <v/>
      </c>
      <c r="N147" s="36" t="str">
        <f>IF(Rooiebal2!L5=(""),(""),ROUND(Rooiebal2!L5/Rooiebal2!$B5*10,3))</f>
        <v/>
      </c>
      <c r="O147" s="36" t="str">
        <f>IF(Rooiebal2!M5=(""),(""),ROUND(Rooiebal2!M5/Rooiebal2!$B5*10,3))</f>
        <v/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6</v>
      </c>
      <c r="B148" s="128" t="str">
        <f>Rooiebal2!A6</f>
        <v xml:space="preserve">Donckers Johnny </v>
      </c>
      <c r="C148" s="32">
        <f>IF(Rooiebal2!AL6=0," ",SUM(E148:AD148))</f>
        <v>74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 t="str">
        <f>IF(Rooiebal2!K6=(""),(""),ROUND(Rooiebal2!K6/Rooiebal2!$B6*10,3))</f>
        <v/>
      </c>
      <c r="N148" s="36" t="str">
        <f>IF(Rooiebal2!L6=(""),(""),ROUND(Rooiebal2!L6/Rooiebal2!$B6*10,3))</f>
        <v/>
      </c>
      <c r="O148" s="36" t="str">
        <f>IF(Rooiebal2!M6=(""),(""),ROUND(Rooiebal2!M6/Rooiebal2!$B6*10,3))</f>
        <v/>
      </c>
      <c r="P148" s="36" t="str">
        <f>IF(Rooiebal2!N6=(""),(""),ROUND(Rooiebal2!N6/Rooiebal2!$B6*10,3))</f>
        <v/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5</v>
      </c>
      <c r="B149" s="128" t="str">
        <f>Rooiebal2!A7</f>
        <v>Goossen Winnie</v>
      </c>
      <c r="C149" s="32">
        <f>IF(Rooiebal2!AL7=0," ",SUM(E149:AD149))</f>
        <v>53.225999999999999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 t="str">
        <f>IF(Rooiebal2!K7=(""),(""),ROUND(Rooiebal2!K7/Rooiebal2!$B7*10,3))</f>
        <v/>
      </c>
      <c r="N149" s="36" t="str">
        <f>IF(Rooiebal2!L7=(""),(""),ROUND(Rooiebal2!L7/Rooiebal2!$B7*10,3))</f>
        <v/>
      </c>
      <c r="O149" s="36" t="str">
        <f>IF(Rooiebal2!M7=(""),(""),ROUND(Rooiebal2!M7/Rooiebal2!$B7*10,3))</f>
        <v/>
      </c>
      <c r="P149" s="36" t="str">
        <f>IF(Rooiebal2!N7=(""),(""),ROUND(Rooiebal2!N7/Rooiebal2!$B7*10,3))</f>
        <v/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5</v>
      </c>
      <c r="B150" s="129" t="str">
        <f>Rooiebal2!A8</f>
        <v>Lodewijckx Willy</v>
      </c>
      <c r="C150" s="32">
        <f>IF(Rooiebal2!AL8=0," ",SUM(E150:AD150))</f>
        <v>53.5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 t="str">
        <f>IF(Rooiebal2!L8=(""),(""),ROUND(Rooiebal2!L8/Rooiebal2!$B8*10,3))</f>
        <v/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4</v>
      </c>
      <c r="B151" s="128" t="str">
        <f>Rooiebal2!A9</f>
        <v xml:space="preserve">Mathyssen Guy  </v>
      </c>
      <c r="C151" s="32">
        <f>IF(Rooiebal2!AL9=0," ",SUM(E151:AD151))</f>
        <v>29.999000000000002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 t="str">
        <f>IF(Rooiebal2!L9=(""),(""),ROUND(Rooiebal2!L9/Rooiebal2!$B9*10,3))</f>
        <v/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4</v>
      </c>
      <c r="B152" s="128" t="str">
        <f>Rooiebal2!A10</f>
        <v>Ossenblok Ed</v>
      </c>
      <c r="C152" s="32">
        <f>IF(Rooiebal2!AL10=0," ",SUM(E152:AD152))</f>
        <v>36.570999999999998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 t="str">
        <f>IF(Rooiebal2!K10=(""),(""),ROUND(Rooiebal2!K10/Rooiebal2!$B10*10,3))</f>
        <v/>
      </c>
      <c r="N152" s="36" t="str">
        <f>IF(Rooiebal2!L10=(""),(""),ROUND(Rooiebal2!L10/Rooiebal2!$B10*10,3))</f>
        <v/>
      </c>
      <c r="O152" s="36" t="str">
        <f>IF(Rooiebal2!M10=(""),(""),ROUND(Rooiebal2!M10/Rooiebal2!$B10*10,3))</f>
        <v/>
      </c>
      <c r="P152" s="36" t="str">
        <f>IF(Rooiebal2!N10=(""),(""),ROUND(Rooiebal2!N10/Rooiebal2!$B10*10,3))</f>
        <v/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4</v>
      </c>
      <c r="B153" s="128" t="str">
        <f>Rooiebal2!A11</f>
        <v>Suykerbuyk Cis</v>
      </c>
      <c r="C153" s="32">
        <f>IF(Rooiebal2!AL11=0," ",SUM(E153:AD153))</f>
        <v>34.000999999999998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 t="str">
        <f>IF(Rooiebal2!L11=(""),(""),ROUND(Rooiebal2!L11/Rooiebal2!$B11*10,3))</f>
        <v/>
      </c>
      <c r="O153" s="36" t="str">
        <f>IF(Rooiebal2!M11=(""),(""),ROUND(Rooiebal2!M11/Rooiebal2!$B11*10,3))</f>
        <v/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4</v>
      </c>
      <c r="B154" s="128" t="str">
        <f>Rooiebal2!A12</f>
        <v>Swinnen Michel</v>
      </c>
      <c r="C154" s="32">
        <f>IF(Rooiebal2!AL12=0," ",SUM(E154:AD154))</f>
        <v>39.474000000000004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 t="str">
        <f>IF(Rooiebal2!K12=(""),(""),ROUND(Rooiebal2!K12/Rooiebal2!$B12*10,3))</f>
        <v/>
      </c>
      <c r="N154" s="36" t="str">
        <f>IF(Rooiebal2!L12=(""),(""),ROUND(Rooiebal2!L12/Rooiebal2!$B12*10,3))</f>
        <v/>
      </c>
      <c r="O154" s="36" t="str">
        <f>IF(Rooiebal2!M12=(""),(""),ROUND(Rooiebal2!M12/Rooiebal2!$B12*10,3))</f>
        <v/>
      </c>
      <c r="P154" s="36" t="str">
        <f>IF(Rooiebal2!N12=(""),(""),ROUND(Rooiebal2!N12/Rooiebal2!$B12*10,3))</f>
        <v/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5</v>
      </c>
      <c r="B155" s="128" t="str">
        <f>Rooiebal2!A13</f>
        <v>Veraart Swa</v>
      </c>
      <c r="C155" s="32">
        <f>IF(Rooiebal2!AL13=0," ",SUM(E155:AD155))</f>
        <v>57.917000000000002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 t="str">
        <f>IF(Rooiebal2!L13=(""),(""),ROUND(Rooiebal2!L13/Rooiebal2!$B13*10,3))</f>
        <v/>
      </c>
      <c r="O155" s="36" t="str">
        <f>IF(Rooiebal2!M13=(""),(""),ROUND(Rooiebal2!M13/Rooiebal2!$B13*10,3))</f>
        <v/>
      </c>
      <c r="P155" s="36" t="str">
        <f>IF(Rooiebal2!N13=(""),(""),ROUND(Rooiebal2!N13/Rooiebal2!$B13*10,3))</f>
        <v/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5</v>
      </c>
      <c r="B156" s="211" t="str">
        <f>Rooiebal2!A14</f>
        <v>Konings Kamiel [NS 20]</v>
      </c>
      <c r="C156" s="32">
        <f>IF(Rooiebal2!AL14=0," ",SUM(E156:AD156))</f>
        <v>24.667000000000002</v>
      </c>
      <c r="E156" s="36" t="str">
        <f>IF(Rooiebal2!C14=(""),(""),ROUND(Rooiebal2!C14/Rooiebal2!$B14*10,3))</f>
        <v/>
      </c>
      <c r="F156" s="36">
        <f>IF(Rooiebal2!D14=(""),(""),ROUND(Rooiebal2!D14/20*10,3))</f>
        <v>7</v>
      </c>
      <c r="G156" s="36" t="str">
        <f>IF(Rooiebal2!E14=(""),(""),ROUND(Rooiebal2!E14/Rooiebal2!$B14*10,3))</f>
        <v/>
      </c>
      <c r="H156" s="36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36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 t="str">
        <f>IF(Rooiebal2!M14=(""),(""),ROUND(Rooiebal2!M14/Rooiebal2!$B14*10,3))</f>
        <v/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7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 t="str">
        <f t="shared" si="132"/>
        <v xml:space="preserve"> </v>
      </c>
      <c r="N157" s="36" t="str">
        <f t="shared" si="132"/>
        <v xml:space="preserve"> </v>
      </c>
      <c r="O157" s="36" t="str">
        <f t="shared" si="132"/>
        <v xml:space="preserve"> </v>
      </c>
      <c r="P157" s="36" t="str">
        <f t="shared" si="132"/>
        <v xml:space="preserve"> 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464.98199999999997</v>
      </c>
      <c r="D158" s="227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 t="str">
        <f t="shared" si="133"/>
        <v xml:space="preserve"> </v>
      </c>
      <c r="N158" s="40" t="str">
        <f t="shared" si="133"/>
        <v xml:space="preserve"> </v>
      </c>
      <c r="O158" s="40" t="str">
        <f t="shared" si="133"/>
        <v xml:space="preserve"> </v>
      </c>
      <c r="P158" s="40" t="str">
        <f t="shared" si="133"/>
        <v xml:space="preserve"> 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5</v>
      </c>
      <c r="B161" s="28" t="str">
        <f>Putte!A4</f>
        <v xml:space="preserve">Anthonissen Paul </v>
      </c>
      <c r="C161" s="32">
        <f>IF(Putte!AL4=0," ",SUM(E161:AD161))</f>
        <v>51.052999999999997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 t="str">
        <f>IF(Putte!K4=(""),(""),ROUND(Putte!K4/Putte!$B4*10,3))</f>
        <v/>
      </c>
      <c r="N161" s="36" t="str">
        <f>IF(Putte!L4=(""),(""),ROUND(Putte!L4/Putte!$B4*10,3))</f>
        <v/>
      </c>
      <c r="O161" s="36" t="str">
        <f>IF(Putte!M4=(""),(""),ROUND(Putte!M4/Putte!$B4*10,3))</f>
        <v/>
      </c>
      <c r="P161" s="36" t="str">
        <f>IF(Putte!N4=(""),(""),ROUND(Putte!N4/Putte!$B4*10,3))</f>
        <v/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4</v>
      </c>
      <c r="B162" s="81" t="str">
        <f>Putte!A5</f>
        <v>De Beukelaer Freddy</v>
      </c>
      <c r="C162" s="32">
        <f>IF(Putte!AL5=0," ",SUM(E162:AD162))</f>
        <v>39.5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 t="str">
        <f>IF(Putte!L5=(""),(""),ROUND(Putte!L5/Putte!$B5*10,3))</f>
        <v/>
      </c>
      <c r="O162" s="36" t="str">
        <f>IF(Putte!M5=(""),(""),ROUND(Putte!M5/Putte!$B5*10,3))</f>
        <v/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6</v>
      </c>
      <c r="B163" s="81" t="str">
        <f>Putte!A6</f>
        <v>Evers Henri</v>
      </c>
      <c r="C163" s="32">
        <f>IF(Putte!AL6=0," ",SUM(E163:AD163))</f>
        <v>48.667000000000002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 t="str">
        <f>IF(Putte!K6=(""),(""),ROUND(Putte!K6/Putte!$B6*10,3))</f>
        <v/>
      </c>
      <c r="N163" s="36" t="str">
        <f>IF(Putte!L6=(""),(""),ROUND(Putte!L6/Putte!$B6*10,3))</f>
        <v/>
      </c>
      <c r="O163" s="36" t="str">
        <f>IF(Putte!M6=(""),(""),ROUND(Putte!M6/Putte!$B6*10,3))</f>
        <v/>
      </c>
      <c r="P163" s="36" t="str">
        <f>IF(Putte!N6=(""),(""),ROUND(Putte!N6/Putte!$B6*10,3))</f>
        <v/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8</v>
      </c>
      <c r="B164" s="28" t="str">
        <f>Putte!A7</f>
        <v xml:space="preserve">Palinckx Fons </v>
      </c>
      <c r="C164" s="32">
        <f>IF(Putte!AL7=0," ",SUM(E164:AD164))</f>
        <v>73.924999999999997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 t="str">
        <f>IF(Putte!L7=(""),(""),ROUND(Putte!L7/Putte!$B7*10,3))</f>
        <v/>
      </c>
      <c r="O164" s="36" t="str">
        <f>IF(Putte!M7=(""),(""),ROUND(Putte!M7/Putte!$B7*10,3))</f>
        <v/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6</v>
      </c>
      <c r="B166" s="28" t="str">
        <f>Putte!A9</f>
        <v xml:space="preserve">Plompen Dirk </v>
      </c>
      <c r="C166" s="32">
        <f>IF(Putte!AL9=0," ",SUM(E166:AD166))</f>
        <v>69.730999999999995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 t="str">
        <f>IF(Putte!K9=(""),(""),ROUND(Putte!K9/Putte!$B9*10,3))</f>
        <v/>
      </c>
      <c r="N166" s="36" t="str">
        <f>IF(Putte!L9=(""),(""),ROUND(Putte!L9/Putte!$B9*10,3))</f>
        <v/>
      </c>
      <c r="O166" s="36" t="str">
        <f>IF(Putte!M9=(""),(""),ROUND(Putte!M9/Putte!$B9*10,3))</f>
        <v/>
      </c>
      <c r="P166" s="36" t="str">
        <f>IF(Putte!N9=(""),(""),ROUND(Putte!N9/Putte!$B9*10,3))</f>
        <v/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3</v>
      </c>
      <c r="B167" s="28" t="str">
        <f>Putte!A10</f>
        <v xml:space="preserve">Schaeken Pierre </v>
      </c>
      <c r="C167" s="32">
        <f>IF(Putte!AL10=0," ",SUM(E167:AD167))</f>
        <v>44.5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 t="str">
        <f>IF(Putte!K10=(""),(""),ROUND(Putte!K10/Putte!$B10*10,3))</f>
        <v/>
      </c>
      <c r="N167" s="36" t="str">
        <f>IF(Putte!L10=(""),(""),ROUND(Putte!L10/Putte!$B10*10,3))</f>
        <v/>
      </c>
      <c r="O167" s="36" t="str">
        <f>IF(Putte!M10=(""),(""),ROUND(Putte!M10/Putte!$B10*10,3))</f>
        <v/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5</v>
      </c>
      <c r="B168" s="28" t="str">
        <f>Putte!A11</f>
        <v>Van Den Bleeken Eddy</v>
      </c>
      <c r="C168" s="32">
        <f>IF(Putte!AL11=0," ",SUM(E168:AD168))</f>
        <v>60.453999999999994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 t="str">
        <f>IF(Putte!K11=(""),(""),ROUND(Putte!K11/Putte!$B11*10,3))</f>
        <v/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5</v>
      </c>
      <c r="B170" s="28" t="str">
        <f>Putte!A13</f>
        <v>Verelst Gilbert</v>
      </c>
      <c r="C170" s="32">
        <f>IF(Putte!AL13=0," ",SUM(E170:AD170))</f>
        <v>54.167000000000002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 t="str">
        <f>IF(Putte!M13=(""),(""),ROUND(Putte!M13/Putte!$B13*10,3))</f>
        <v/>
      </c>
      <c r="P170" s="36" t="str">
        <f>IF(Putte!N13=(""),(""),ROUND(Putte!N13/Putte!$B13*10,3))</f>
        <v/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2</v>
      </c>
      <c r="B171" s="28" t="str">
        <f>Putte!A14</f>
        <v>Wolfcarius Jaques</v>
      </c>
      <c r="C171" s="32">
        <f>IF(Putte!AL14=0," ",SUM(E171:AD171))</f>
        <v>21.817999999999998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 t="str">
        <f>IF(Putte!M14=(""),(""),ROUND(Putte!M14/Putte!$B14*10,3))</f>
        <v/>
      </c>
      <c r="P171" s="36" t="str">
        <f>IF(Putte!N14=(""),(""),ROUND(Putte!N14/Putte!$B14*10,3))</f>
        <v/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4</v>
      </c>
      <c r="B172" s="28" t="str">
        <f>Putte!A15</f>
        <v xml:space="preserve">Eyckmans Luc   </v>
      </c>
      <c r="C172" s="32">
        <f>IF(Putte!AL15=0," ",SUM(E172:AD172))</f>
        <v>39.564999999999998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 t="str">
        <f>IF(Putte!K15=(""),(""),ROUND(Putte!K15/Putte!$B15*10,3))</f>
        <v/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 t="str">
        <f>IF(Putte!N15=(""),(""),ROUND(Putte!N15/Putte!$B15*10,3))</f>
        <v/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7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 t="str">
        <f t="shared" si="135"/>
        <v xml:space="preserve"> </v>
      </c>
      <c r="N173" s="36" t="str">
        <f t="shared" si="135"/>
        <v xml:space="preserve"> </v>
      </c>
      <c r="O173" s="36" t="str">
        <f t="shared" si="135"/>
        <v xml:space="preserve"> </v>
      </c>
      <c r="P173" s="36" t="str">
        <f t="shared" si="135"/>
        <v xml:space="preserve"> 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503.37999999999994</v>
      </c>
      <c r="D174" s="227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 t="str">
        <f t="shared" si="136"/>
        <v xml:space="preserve"> </v>
      </c>
      <c r="N174" s="40" t="str">
        <f t="shared" si="136"/>
        <v xml:space="preserve"> </v>
      </c>
      <c r="O174" s="40" t="str">
        <f t="shared" si="136"/>
        <v xml:space="preserve"> </v>
      </c>
      <c r="P174" s="40" t="str">
        <f t="shared" si="136"/>
        <v xml:space="preserve"> 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3</v>
      </c>
      <c r="B177" s="28" t="str">
        <f>Wildert1!A4</f>
        <v>Adriaansen Jan</v>
      </c>
      <c r="C177" s="32">
        <f>IF(Wildert1!AL4=0," ",SUM(E177:AD177))</f>
        <v>21.175999999999998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 t="str">
        <f>IF(Wildert1!M4=(""),(""),ROUND(Wildert1!M4/Wildert1!$B4*10,3))</f>
        <v/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3</v>
      </c>
      <c r="B178" s="28" t="str">
        <f>Wildert1!A5</f>
        <v>Brouwers Adri</v>
      </c>
      <c r="C178" s="32">
        <f>IF(Wildert1!AL5=0," ",SUM(E178:AD178))</f>
        <v>32.894999999999996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 t="str">
        <f>IF(Wildert1!K5=(""),(""),ROUND(Wildert1!K5/Wildert1!$B5*10,3))</f>
        <v/>
      </c>
      <c r="N178" s="36" t="str">
        <f>IF(Wildert1!L5=(""),(""),ROUND(Wildert1!L5/Wildert1!$B5*10,3))</f>
        <v/>
      </c>
      <c r="O178" s="36" t="str">
        <f>IF(Wildert1!M5=(""),(""),ROUND(Wildert1!M5/Wildert1!$B5*10,3))</f>
        <v/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6</v>
      </c>
      <c r="B179" s="38" t="str">
        <f>Wildert1!A6</f>
        <v>Buijk Jan  [NS 55]</v>
      </c>
      <c r="C179" s="32">
        <f>IF(Wildert1!AL6=0," ",SUM(E179:AD179))</f>
        <v>67.046999999999997</v>
      </c>
      <c r="E179" s="36">
        <f>IF(Wildert1!C6=(""),(""),ROUND(Wildert1!C6/55*10,3))</f>
        <v>10.727</v>
      </c>
      <c r="F179" s="36">
        <f>IF(Wildert1!D6=(""),(""),ROUND(Wildert1!D6/55*10,3))</f>
        <v>8.5449999999999999</v>
      </c>
      <c r="G179" s="36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 t="str">
        <f>IF(Wildert1!L6=(""),(""),ROUND(Wildert1!L6/Wildert1!$B6*10,3))</f>
        <v/>
      </c>
      <c r="O179" s="36" t="str">
        <f>IF(Wildert1!M6=(""),(""),ROUND(Wildert1!M6/Wildert1!$B6*10,3))</f>
        <v/>
      </c>
      <c r="P179" s="36" t="str">
        <f>IF(Wildert1!N6=(""),(""),ROUND(Wildert1!N6/Wildert1!$B6*10,3))</f>
        <v/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3</v>
      </c>
      <c r="B180" s="81" t="str">
        <f>Wildert1!A7</f>
        <v>Denissens Frans</v>
      </c>
      <c r="C180" s="32">
        <f>IF(Wildert1!AL7=0," ",SUM(E180:AD180))</f>
        <v>29.334000000000003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 t="str">
        <f>IF(Wildert1!K7=(""),(""),ROUND(Wildert1!K7/Wildert1!$B7*10,3))</f>
        <v/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5</v>
      </c>
      <c r="B181" s="80" t="str">
        <f>Wildert1!A8</f>
        <v>Dries Louis</v>
      </c>
      <c r="C181" s="32">
        <f>IF(Wildert1!AL8=0," ",SUM(E181:AD181))</f>
        <v>55.939000000000007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 t="str">
        <f>IF(Wildert1!K8=(""),(""),ROUND(Wildert1!K8/Wildert1!$B8*10,3))</f>
        <v/>
      </c>
      <c r="N181" s="36" t="str">
        <f>IF(Wildert1!L8=(""),(""),ROUND(Wildert1!L8/Wildert1!$B8*10,3))</f>
        <v/>
      </c>
      <c r="O181" s="36" t="str">
        <f>IF(Wildert1!M8=(""),(""),ROUND(Wildert1!M8/Wildert1!$B8*10,3))</f>
        <v/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2</v>
      </c>
      <c r="B182" s="28" t="str">
        <f>Wildert1!A9</f>
        <v>Kerstens Marc</v>
      </c>
      <c r="C182" s="32">
        <f>IF(Wildert1!AL9=0," ",SUM(E182:AD182))</f>
        <v>25.262999999999998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 t="str">
        <f>IF(Wildert1!L9=(""),(""),ROUND(Wildert1!L9/Wildert1!$B9*10,3))</f>
        <v/>
      </c>
      <c r="O182" s="36" t="str">
        <f>IF(Wildert1!M9=(""),(""),ROUND(Wildert1!M9/Wildert1!$B9*10,3))</f>
        <v/>
      </c>
      <c r="P182" s="36" t="str">
        <f>IF(Wildert1!N9=(""),(""),ROUND(Wildert1!N9/Wildert1!$B9*10,3))</f>
        <v/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2</v>
      </c>
      <c r="B183" s="28" t="str">
        <f>Wildert1!A10</f>
        <v>Kerstens Ronald</v>
      </c>
      <c r="C183" s="32">
        <f>IF(Wildert1!AL10=0," ",SUM(E183:AD183))</f>
        <v>18.571000000000002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 t="str">
        <f>IF(Wildert1!N10=(""),(""),ROUND(Wildert1!N10/Wildert1!$B10*10,3))</f>
        <v/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4</v>
      </c>
      <c r="B184" s="28" t="str">
        <f>Wildert1!A11</f>
        <v xml:space="preserve">Konings Guido </v>
      </c>
      <c r="C184" s="32">
        <f>IF(Wildert1!AL11=0," ",SUM(E184:AD184))</f>
        <v>54.167000000000002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 t="str">
        <f>IF(Wildert1!K11=(""),(""),ROUND(Wildert1!K11/Wildert1!$B11*10,3))</f>
        <v/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5</v>
      </c>
      <c r="B185" s="28" t="str">
        <f>Wildert1!A12</f>
        <v xml:space="preserve">Kustermans Toon </v>
      </c>
      <c r="C185" s="32">
        <f>IF(Wildert1!AL12=0," ",SUM(E185:AD185))</f>
        <v>47.631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 t="str">
        <f>IF(Wildert1!L12=(""),(""),ROUND(Wildert1!L12/Wildert1!$B12*10,3))</f>
        <v/>
      </c>
      <c r="O185" s="36" t="str">
        <f>IF(Wildert1!M12=(""),(""),ROUND(Wildert1!M12/Wildert1!$B12*10,3))</f>
        <v/>
      </c>
      <c r="P185" s="36" t="str">
        <f>IF(Wildert1!N12=(""),(""),ROUND(Wildert1!N12/Wildert1!$B12*10,3))</f>
        <v/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3</v>
      </c>
      <c r="B186" s="28" t="str">
        <f>Wildert1!A13</f>
        <v xml:space="preserve">Sarra-Ribo Jef      </v>
      </c>
      <c r="C186" s="32">
        <f>IF(Wildert1!AL13=0," ",SUM(E186:AD186))</f>
        <v>36.249000000000002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 t="str">
        <f>IF(Wildert1!K13=(""),(""),ROUND(Wildert1!K13/Wildert1!$B13*10,3))</f>
        <v/>
      </c>
      <c r="N186" s="36" t="str">
        <f>IF(Wildert1!L13=(""),(""),ROUND(Wildert1!L13/Wildert1!$B13*10,3))</f>
        <v/>
      </c>
      <c r="O186" s="36" t="str">
        <f>IF(Wildert1!M13=(""),(""),ROUND(Wildert1!M13/Wildert1!$B13*10,3))</f>
        <v/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3</v>
      </c>
      <c r="B187" s="28" t="str">
        <f>Wildert1!A14</f>
        <v>Sas Ronny</v>
      </c>
      <c r="C187" s="32">
        <f>IF(Wildert1!AL14=0," ",SUM(E187:AD187))</f>
        <v>30.665999999999997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 t="str">
        <f>IF(Wildert1!L14=(""),(""),ROUND(Wildert1!L14/Wildert1!$B14*10,3))</f>
        <v/>
      </c>
      <c r="O187" s="36" t="str">
        <f>IF(Wildert1!M14=(""),(""),ROUND(Wildert1!M14/Wildert1!$B14*10,3))</f>
        <v/>
      </c>
      <c r="P187" s="36" t="str">
        <f>IF(Wildert1!N14=(""),(""),ROUND(Wildert1!N14/Wildert1!$B14*10,3))</f>
        <v/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6</v>
      </c>
      <c r="B188" s="28" t="str">
        <f>Wildert1!A15</f>
        <v>Thijs Jef</v>
      </c>
      <c r="C188" s="32">
        <f>IF(Wildert1!AL15=0," ",SUM(E188:AD188))</f>
        <v>66.191000000000003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 t="str">
        <f>IF(Wildert1!K15=(""),(""),ROUND(Wildert1!K15/Wildert1!$B15*10,3))</f>
        <v/>
      </c>
      <c r="N188" s="36" t="str">
        <f>IF(Wildert1!L15=(""),(""),ROUND(Wildert1!L15/Wildert1!$B15*10,3))</f>
        <v/>
      </c>
      <c r="O188" s="36" t="str">
        <f>IF(Wildert1!M15=(""),(""),ROUND(Wildert1!M15/Wildert1!$B15*10,3))</f>
        <v/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3</v>
      </c>
      <c r="B189" s="38" t="str">
        <f>Wildert1!A16</f>
        <v xml:space="preserve">Wetzer Rik [NS 20] </v>
      </c>
      <c r="C189" s="32">
        <f>IF(Wildert1!AL16=0," ",SUM(E189:AD189))</f>
        <v>17</v>
      </c>
      <c r="E189" s="36" t="str">
        <f>IF(Wildert1!C16=(""),(""),ROUND(Wildert1!C16/Wildert1!$B16*10,3))</f>
        <v/>
      </c>
      <c r="F189" s="36">
        <f>IF(Wildert1!D16=(""),(""),ROUND(Wildert1!D16/20*10,3))</f>
        <v>4</v>
      </c>
      <c r="G189" s="36" t="str">
        <f>IF(Wildert1!E16=(""),(""),ROUND(Wildert1!E16/Wildert1!$B16*10,3))</f>
        <v/>
      </c>
      <c r="H189" s="36">
        <f>IF(Wildert1!F16=(""),(""),ROUND(Wildert1!F16/20*10,3))</f>
        <v>8.5</v>
      </c>
      <c r="I189" s="36" t="str">
        <f>IF(Wildert1!G16=(""),(""),ROUND(Wildert1!G16/Wildert1!$B16*10,3))</f>
        <v/>
      </c>
      <c r="J189" s="36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 t="str">
        <f>IF(Wildert1!N16=(""),(""),ROUND(Wildert1!N16/Wildert1!$B16*10,3))</f>
        <v/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8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 t="str">
        <f t="shared" si="139"/>
        <v xml:space="preserve"> </v>
      </c>
      <c r="N190" s="36" t="str">
        <f t="shared" si="139"/>
        <v xml:space="preserve"> </v>
      </c>
      <c r="O190" s="36" t="str">
        <f t="shared" si="139"/>
        <v xml:space="preserve"> </v>
      </c>
      <c r="P190" s="36" t="str">
        <f t="shared" si="139"/>
        <v xml:space="preserve"> 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502.12900000000002</v>
      </c>
      <c r="D191" s="227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 t="str">
        <f t="shared" si="140"/>
        <v xml:space="preserve"> </v>
      </c>
      <c r="N191" s="40" t="str">
        <f>IF(N190=(" "),(" "),M191+N190)</f>
        <v xml:space="preserve"> </v>
      </c>
      <c r="O191" s="40" t="str">
        <f t="shared" si="140"/>
        <v xml:space="preserve"> </v>
      </c>
      <c r="P191" s="40" t="str">
        <f t="shared" si="140"/>
        <v xml:space="preserve"> 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1</v>
      </c>
      <c r="B194" s="28" t="str">
        <f>Wildert2!A4</f>
        <v xml:space="preserve">Aernouts Johan  </v>
      </c>
      <c r="C194" s="32">
        <f>IF(Wildert2!AL4=0," ",SUM(E194:AD194))</f>
        <v>8.8369999999999997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 t="str">
        <f>IF(Wildert2!N4=(""),(""),ROUND(Wildert2!N4/Wildert2!$B4*10,3))</f>
        <v/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7</v>
      </c>
      <c r="B195" s="81" t="str">
        <f>Wildert2!A5</f>
        <v>Eestermans René</v>
      </c>
      <c r="C195" s="32">
        <f>IF(Wildert2!AL5=0," ",SUM(E195:AD195))</f>
        <v>74.284999999999997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23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70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 t="str">
        <f>IF(Wildert2!K5=(""),(""),ROUND(Wildert2!K5/Wildert2!$B5*10,3))</f>
        <v/>
      </c>
      <c r="N195" s="36" t="str">
        <f>IF(Wildert2!L5=(""),(""),ROUND(Wildert2!L5/Wildert2!$B5*10,3))</f>
        <v/>
      </c>
      <c r="O195" s="36" t="str">
        <f>IF(Wildert2!M5=(""),(""),ROUND(Wildert2!M5/Wildert2!$B5*10,3))</f>
        <v/>
      </c>
      <c r="P195" s="36" t="str">
        <f>IF(Wildert2!N5=(""),(""),ROUND(Wildert2!N5/Wildert2!$B5*10,3))</f>
        <v/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8</v>
      </c>
      <c r="B196" s="28" t="str">
        <f>Wildert2!A6</f>
        <v xml:space="preserve">Eijckholt Adrie              </v>
      </c>
      <c r="C196" s="32">
        <f>IF(Wildert2!AL6=0," ",SUM(E196:AD196))</f>
        <v>72.85799999999999</v>
      </c>
      <c r="E196" s="36">
        <f>IF(Wildert2!C6=(""),(""),ROUND(Wildert2!C6/Wildert2!$B6*10,3))</f>
        <v>9.048</v>
      </c>
      <c r="F196" s="223">
        <f>IF(Wildert2!D6=(""),(""),ROUND(Wildert2!D6/Wildert2!$B6*10,3))</f>
        <v>11.667</v>
      </c>
      <c r="G196" s="223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70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 t="str">
        <f>IF(Wildert2!L6=(""),(""),ROUND(Wildert2!L6/Wildert2!$B6*10,3))</f>
        <v/>
      </c>
      <c r="O196" s="36" t="str">
        <f>IF(Wildert2!M6=(""),(""),ROUND(Wildert2!M6/Wildert2!$B6*10,3))</f>
        <v/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7</v>
      </c>
      <c r="B197" s="81" t="str">
        <f>Wildert2!A7</f>
        <v xml:space="preserve">Francken Robert </v>
      </c>
      <c r="C197" s="93">
        <f>IF(Wildert2!AL7=0," ",SUM(E197:AD197))</f>
        <v>84.25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70">
        <f>IF(Wildert2!H7=(""),(""),ROUND(Wildert2!H7/Wildert2!$B7*10,3))</f>
        <v>16.25</v>
      </c>
      <c r="K197" s="270">
        <f>IF(Wildert2!I7=(""),(""),ROUND(Wildert2!I7/Wildert2!$B7*10,3))</f>
        <v>13</v>
      </c>
      <c r="L197" s="36">
        <f>IF(Wildert2!J7=(""),(""),ROUND(Wildert2!J7/Wildert2!$B7*10,3))</f>
        <v>10</v>
      </c>
      <c r="M197" s="36" t="str">
        <f>IF(Wildert2!K7=(""),(""),ROUND(Wildert2!K7/Wildert2!$B7*10,3))</f>
        <v/>
      </c>
      <c r="N197" s="36" t="str">
        <f>IF(Wildert2!L7=(""),(""),ROUND(Wildert2!L7/Wildert2!$B7*10,3))</f>
        <v/>
      </c>
      <c r="O197" s="36" t="str">
        <f>IF(Wildert2!M7=(""),(""),ROUND(Wildert2!M7/Wildert2!$B7*10,3))</f>
        <v/>
      </c>
      <c r="P197" s="36" t="str">
        <f>IF(Wildert2!N7=(""),(""),ROUND(Wildert2!N7/Wildert2!$B7*10,3))</f>
        <v/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3</v>
      </c>
      <c r="B198" s="81" t="str">
        <f>Wildert2!A8</f>
        <v xml:space="preserve">Leys Herman </v>
      </c>
      <c r="C198" s="32">
        <f>IF(Wildert2!AL8=0," ",SUM(E198:AD198))</f>
        <v>33.75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 t="str">
        <f>IF(Wildert2!K8=(""),(""),ROUND(Wildert2!K8/Wildert2!$B8*10,3))</f>
        <v/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4</v>
      </c>
      <c r="B200" s="211" t="str">
        <f>Wildert2!A10</f>
        <v>Peeters Hugo [NS 36]</v>
      </c>
      <c r="C200" s="32">
        <f>IF(Wildert2!AL10=0," ",SUM(E200:AD200))</f>
        <v>46.950999999999993</v>
      </c>
      <c r="E200" s="36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36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36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 t="str">
        <f>IF(Wildert2!L10=(""),(""),ROUND(Wildert2!L10/Wildert2!$B10*10,3))</f>
        <v/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5</v>
      </c>
      <c r="B201" s="38" t="str">
        <f>Wildert2!A11</f>
        <v xml:space="preserve">Scholtis Vic  [NS 49] </v>
      </c>
      <c r="C201" s="32">
        <f>IF(Wildert2!AL11=0," ",SUM(E201:AD201))</f>
        <v>52.286999999999999</v>
      </c>
      <c r="E201" s="36" t="str">
        <f>IF(Wildert2!C11=(""),(""),ROUND(Wildert2!C11/Wildert2!$B11*10,3))</f>
        <v/>
      </c>
      <c r="F201" s="36">
        <f>IF(Wildert2!D11=(""),(""),ROUND(Wildert2!D11/49*10,3))</f>
        <v>4.8979999999999997</v>
      </c>
      <c r="G201" s="36" t="str">
        <f>IF(Wildert2!E11=(""),(""),ROUND(Wildert2!E11/Wildert2!$B11*10,3))</f>
        <v/>
      </c>
      <c r="H201" s="36">
        <f>IF(Wildert2!F11=(""),(""),ROUND(Wildert2!F11/49*10,3))</f>
        <v>10</v>
      </c>
      <c r="I201" s="36">
        <f>IF(Wildert2!G11=(""),(""),ROUND(Wildert2!G11/49*10,3))</f>
        <v>6.5309999999999997</v>
      </c>
      <c r="J201" s="270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 t="str">
        <f>IF(Wildert2!K11=(""),(""),ROUND(Wildert2!K11/Wildert2!$B11*10,3))</f>
        <v/>
      </c>
      <c r="N201" s="36" t="str">
        <f>IF(Wildert2!L11=(""),(""),ROUND(Wildert2!L11/Wildert2!$B11*10,3))</f>
        <v/>
      </c>
      <c r="O201" s="36" t="str">
        <f>IF(Wildert2!M11=(""),(""),ROUND(Wildert2!M11/Wildert2!$B11*10,3))</f>
        <v/>
      </c>
      <c r="P201" s="36" t="str">
        <f>IF(Wildert2!N11=(""),(""),ROUND(Wildert2!N11/Wildert2!$B11*10,3))</f>
        <v/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1</v>
      </c>
      <c r="B202" s="80" t="str">
        <f>Wildert2!A12</f>
        <v>Van Den Bergh Jacky</v>
      </c>
      <c r="C202" s="32">
        <f>IF(Wildert2!AL12=0," ",SUM(E202:AD202))</f>
        <v>13.119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 t="str">
        <f>IF(Wildert2!M12=(""),(""),ROUND(Wildert2!M12/Wildert2!$B12*10,3))</f>
        <v/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5</v>
      </c>
      <c r="B203" s="28" t="str">
        <f>Wildert2!A13</f>
        <v xml:space="preserve">Van Ginneken Ludo </v>
      </c>
      <c r="C203" s="32">
        <f>IF(Wildert2!AL13=0," ",SUM(E203:AD203))</f>
        <v>62.221999999999994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23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70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 t="str">
        <f>IF(Wildert2!K13=(""),(""),ROUND(Wildert2!K13/Wildert2!$B13*10,3))</f>
        <v/>
      </c>
      <c r="N203" s="36" t="str">
        <f>IF(Wildert2!L13=(""),(""),ROUND(Wildert2!L13/Wildert2!$B13*10,3))</f>
        <v/>
      </c>
      <c r="O203" s="36" t="str">
        <f>IF(Wildert2!M13=(""),(""),ROUND(Wildert2!M13/Wildert2!$B13*10,3))</f>
        <v/>
      </c>
      <c r="P203" s="36" t="str">
        <f>IF(Wildert2!N13=(""),(""),ROUND(Wildert2!N13/Wildert2!$B13*10,3))</f>
        <v/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5</v>
      </c>
      <c r="B204" s="28" t="str">
        <f>Wildert2!A14</f>
        <v>Van Hooydonck Swa</v>
      </c>
      <c r="C204" s="32">
        <f>IF(Wildert2!AL14=0," ",SUM(E204:AD204))</f>
        <v>42.570999999999998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23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 t="str">
        <f>IF(Wildert2!K14=(""),(""),ROUND(Wildert2!K14/Wildert2!$B14*10,3))</f>
        <v/>
      </c>
      <c r="N204" s="36" t="str">
        <f>IF(Wildert2!L14=(""),(""),ROUND(Wildert2!L14/Wildert2!$B14*10,3))</f>
        <v/>
      </c>
      <c r="O204" s="36" t="str">
        <f>IF(Wildert2!M14=(""),(""),ROUND(Wildert2!M14/Wildert2!$B14*10,3))</f>
        <v/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2</v>
      </c>
      <c r="B205" s="28" t="str">
        <f>Wildert2!A15</f>
        <v>Wiericx Herman</v>
      </c>
      <c r="C205" s="32">
        <f>IF(Wildert2!AL15=0," ",SUM(E205:AD205))</f>
        <v>24.8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23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 t="str">
        <f>IF(Wildert2!N15=(""),(""),ROUND(Wildert2!N15/Wildert2!$B15*10,3))</f>
        <v/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8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 t="str">
        <f t="shared" si="143"/>
        <v xml:space="preserve"> </v>
      </c>
      <c r="N206" s="36" t="str">
        <f t="shared" si="143"/>
        <v xml:space="preserve"> </v>
      </c>
      <c r="O206" s="36" t="str">
        <f t="shared" si="143"/>
        <v xml:space="preserve"> </v>
      </c>
      <c r="P206" s="36" t="str">
        <f t="shared" si="143"/>
        <v xml:space="preserve"> 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515.92999999999995</v>
      </c>
      <c r="D207" s="262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 t="str">
        <f t="shared" si="144"/>
        <v xml:space="preserve"> </v>
      </c>
      <c r="N207" s="40" t="str">
        <f t="shared" si="144"/>
        <v xml:space="preserve"> </v>
      </c>
      <c r="O207" s="40" t="str">
        <f t="shared" si="144"/>
        <v xml:space="preserve"> </v>
      </c>
      <c r="P207" s="40" t="str">
        <f t="shared" si="144"/>
        <v xml:space="preserve"> 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297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5</v>
      </c>
      <c r="B210" s="28" t="str">
        <f>DeBeek!A4</f>
        <v xml:space="preserve">Bergmans Armand </v>
      </c>
      <c r="C210" s="32">
        <f>IF(DeBeek!AL4=0," ",SUM(E210:AD210))</f>
        <v>45.517000000000003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 t="str">
        <f>IF(DeBeek!K4=(""),(""),ROUND(DeBeek!K4/DeBeek!$B4*10,3))</f>
        <v/>
      </c>
      <c r="N210" s="36" t="str">
        <f>IF(DeBeek!L4=(""),(""),ROUND(DeBeek!L4/DeBeek!$B4*10,3))</f>
        <v/>
      </c>
      <c r="O210" s="36" t="str">
        <f>IF(DeBeek!M4=(""),(""),ROUND(DeBeek!M4/DeBeek!$B4*10,3))</f>
        <v/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4</v>
      </c>
      <c r="B211" s="80" t="str">
        <f>DeBeek!A5</f>
        <v>Beyers Armand</v>
      </c>
      <c r="C211" s="32">
        <f>IF(DeBeek!AL5=0," ",SUM(E211:AD211))</f>
        <v>51.389000000000003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 t="str">
        <f>IF(DeBeek!M5=(""),(""),ROUND(DeBeek!M5/DeBeek!$B5*10,3))</f>
        <v/>
      </c>
      <c r="P211" s="36" t="str">
        <f>IF(DeBeek!N5=(""),(""),ROUND(DeBeek!N5/DeBeek!$B5*10,3))</f>
        <v/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5</v>
      </c>
      <c r="B212" s="81" t="str">
        <f>DeBeek!A6</f>
        <v xml:space="preserve">Beyers Roger </v>
      </c>
      <c r="C212" s="32">
        <f>IF(DeBeek!AL6=0," ",SUM(E212:AD212))</f>
        <v>43.260999999999996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 t="str">
        <f>IF(DeBeek!K6=(""),(""),ROUND(DeBeek!K6/DeBeek!$B6*10,3))</f>
        <v/>
      </c>
      <c r="N212" s="36" t="str">
        <f>IF(DeBeek!L6=(""),(""),ROUND(DeBeek!L6/DeBeek!$B6*10,3))</f>
        <v/>
      </c>
      <c r="O212" s="36" t="str">
        <f>IF(DeBeek!M6=(""),(""),ROUND(DeBeek!M6/DeBeek!$B6*10,3))</f>
        <v/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3</v>
      </c>
      <c r="B213" s="28" t="str">
        <f>DeBeek!A7</f>
        <v xml:space="preserve">Binnemans Rene </v>
      </c>
      <c r="C213" s="32">
        <f>IF(DeBeek!AL7=0," ",SUM(E213:AD213))</f>
        <v>30.606000000000002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 t="str">
        <f>IF(DeBeek!K7=(""),(""),ROUND(DeBeek!K7/DeBeek!$B7*10,3))</f>
        <v/>
      </c>
      <c r="N213" s="36" t="str">
        <f>IF(DeBeek!L7=(""),(""),ROUND(DeBeek!L7/DeBeek!$B7*10,3))</f>
        <v/>
      </c>
      <c r="O213" s="36" t="str">
        <f>IF(DeBeek!M7=(""),(""),ROUND(DeBeek!M7/DeBeek!$B7*10,3))</f>
        <v/>
      </c>
      <c r="P213" s="36" t="str">
        <f>IF(DeBeek!N7=(""),(""),ROUND(DeBeek!N7/DeBeek!$B7*10,3))</f>
        <v/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5</v>
      </c>
      <c r="B214" s="81" t="str">
        <f>DeBeek!A8</f>
        <v>De Crom Ludo</v>
      </c>
      <c r="C214" s="32">
        <f>IF(DeBeek!AL8=0," ",SUM(E214:AD214))</f>
        <v>38.751000000000005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 t="str">
        <f>IF(DeBeek!K8=(""),(""),ROUND(DeBeek!K8/DeBeek!$B8*10,3))</f>
        <v/>
      </c>
      <c r="N214" s="36" t="str">
        <f>IF(DeBeek!L8=(""),(""),ROUND(DeBeek!L8/DeBeek!$B8*10,3))</f>
        <v/>
      </c>
      <c r="O214" s="36" t="str">
        <f>IF(DeBeek!M8=(""),(""),ROUND(DeBeek!M8/DeBeek!$B8*10,3))</f>
        <v/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6</v>
      </c>
      <c r="B215" s="177" t="str">
        <f>DeBeek!A9</f>
        <v>Geysen Louis</v>
      </c>
      <c r="C215" s="32">
        <f>IF(DeBeek!AL9=0," ",SUM(E215:AD215))</f>
        <v>57.826999999999998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 t="str">
        <f>IF(DeBeek!L9=(""),(""),ROUND(DeBeek!L9/DeBeek!$B9*10,3))</f>
        <v/>
      </c>
      <c r="O215" s="36" t="str">
        <f>IF(DeBeek!M9=(""),(""),ROUND(DeBeek!M9/DeBeek!$B9*10,3))</f>
        <v/>
      </c>
      <c r="P215" s="36" t="str">
        <f>IF(DeBeek!N9=(""),(""),ROUND(DeBeek!N9/DeBeek!$B9*10,3))</f>
        <v/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6</v>
      </c>
      <c r="B216" s="81" t="str">
        <f>DeBeek!A10</f>
        <v xml:space="preserve">Heyndrickx Alfons   </v>
      </c>
      <c r="C216" s="32">
        <f>IF(DeBeek!AL10=0," ",SUM(E216:AD216))</f>
        <v>64.616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 t="str">
        <f>IF(DeBeek!L10=(""),(""),ROUND(DeBeek!L10/DeBeek!$B10*10,3))</f>
        <v/>
      </c>
      <c r="O216" s="36" t="str">
        <f>IF(DeBeek!M10=(""),(""),ROUND(DeBeek!M10/DeBeek!$B10*10,3))</f>
        <v/>
      </c>
      <c r="P216" s="36" t="str">
        <f>IF(DeBeek!N10=(""),(""),ROUND(DeBeek!N10/DeBeek!$B10*10,3))</f>
        <v/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3</v>
      </c>
      <c r="B217" s="28" t="str">
        <f>DeBeek!A11</f>
        <v xml:space="preserve">Van Looveren Dirk </v>
      </c>
      <c r="C217" s="32">
        <f>IF(DeBeek!AL11=0," ",SUM(E217:AD217))</f>
        <v>20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 t="str">
        <f>IF(DeBeek!K11=(""),(""),ROUND(DeBeek!K11/DeBeek!$B11*10,3))</f>
        <v/>
      </c>
      <c r="N217" s="36" t="str">
        <f>IF(DeBeek!L11=(""),(""),ROUND(DeBeek!L11/DeBeek!$B11*10,3))</f>
        <v/>
      </c>
      <c r="O217" s="36" t="str">
        <f>IF(DeBeek!M11=(""),(""),ROUND(DeBeek!M11/DeBeek!$B11*10,3))</f>
        <v/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6</v>
      </c>
      <c r="B218" s="28" t="str">
        <f>DeBeek!A12</f>
        <v>Van Wesenbeeck Marcel</v>
      </c>
      <c r="C218" s="32">
        <f>IF(DeBeek!AL12=0," ",SUM(E218:AD218))</f>
        <v>53.927999999999997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 t="str">
        <f>IF(DeBeek!K12=(""),(""),ROUND(DeBeek!K12/DeBeek!$B12*10,3))</f>
        <v/>
      </c>
      <c r="N218" s="36" t="str">
        <f>IF(DeBeek!L12=(""),(""),ROUND(DeBeek!L12/DeBeek!$B12*10,3))</f>
        <v/>
      </c>
      <c r="O218" s="36" t="str">
        <f>IF(DeBeek!M12=(""),(""),ROUND(DeBeek!M12/DeBeek!$B12*10,3))</f>
        <v/>
      </c>
      <c r="P218" s="36" t="str">
        <f>IF(DeBeek!N12=(""),(""),ROUND(DeBeek!N12/DeBeek!$B12*10,3))</f>
        <v/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5</v>
      </c>
      <c r="B219" s="28" t="str">
        <f>DeBeek!A13</f>
        <v xml:space="preserve">Verhulst Adri     </v>
      </c>
      <c r="C219" s="32">
        <f>IF(DeBeek!AL13=0," ",SUM(E219:AD219))</f>
        <v>46.471000000000004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 t="str">
        <f>IF(DeBeek!N13=(""),(""),ROUND(DeBeek!N13/DeBeek!$B13*10,3))</f>
        <v/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8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 t="str">
        <f t="shared" si="146"/>
        <v xml:space="preserve"> </v>
      </c>
      <c r="N221" s="36" t="str">
        <f t="shared" si="146"/>
        <v xml:space="preserve"> </v>
      </c>
      <c r="O221" s="36" t="str">
        <f t="shared" si="146"/>
        <v xml:space="preserve"> </v>
      </c>
      <c r="P221" s="36" t="str">
        <f t="shared" si="146"/>
        <v xml:space="preserve"> 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452.36599999999999</v>
      </c>
      <c r="D222" s="227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 t="str">
        <f t="shared" si="147"/>
        <v xml:space="preserve"> </v>
      </c>
      <c r="N222" s="40" t="str">
        <f t="shared" si="147"/>
        <v xml:space="preserve"> </v>
      </c>
      <c r="O222" s="40" t="str">
        <f t="shared" si="147"/>
        <v xml:space="preserve"> </v>
      </c>
      <c r="P222" s="40" t="str">
        <f t="shared" si="147"/>
        <v xml:space="preserve"> 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sheetProtection algorithmName="SHA-512" hashValue="2y4cU7uMlCpTywtDsOCtSjjo866X0kW/wqb+nvkwPY2PFYJlL66QYQPjtO3bUh6q21izHB8+KjvKDlsDHKS7Sw==" saltValue="TTL/roQ0C4zz89cD4Ge5NA==" spinCount="100000" sheet="1" objects="1" scenarios="1"/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topLeftCell="A131" zoomScale="115" zoomScaleNormal="115" workbookViewId="0">
      <selection activeCell="Q13" sqref="Q13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3" t="s">
        <v>288</v>
      </c>
      <c r="B1" s="283"/>
      <c r="C1" s="283"/>
      <c r="D1" s="283"/>
      <c r="E1" s="215" t="s">
        <v>337</v>
      </c>
    </row>
    <row r="2" spans="1:5" ht="21" customHeight="1" x14ac:dyDescent="0.3">
      <c r="A2" s="284" t="s">
        <v>289</v>
      </c>
      <c r="B2" s="284"/>
      <c r="C2" s="284"/>
      <c r="D2" s="284"/>
      <c r="E2" s="222">
        <f>Rangschikking!E3</f>
        <v>45960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293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3">
        <v>45874</v>
      </c>
      <c r="B8" s="172" t="s">
        <v>9</v>
      </c>
      <c r="C8" s="172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292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292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293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292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293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293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5">
        <v>45936</v>
      </c>
      <c r="B35" s="236" t="s">
        <v>13</v>
      </c>
      <c r="C35" s="234" t="s">
        <v>292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292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9">
        <v>45946</v>
      </c>
      <c r="B40" s="234" t="s">
        <v>16</v>
      </c>
      <c r="C40" s="234" t="s">
        <v>7</v>
      </c>
      <c r="D40" s="271">
        <f>VLOOKUP(B40,Punten!$C$3:$AD$222,7,0)</f>
        <v>58.264000000000003</v>
      </c>
      <c r="E40" s="271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293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9">
        <v>45958</v>
      </c>
      <c r="B43" s="234" t="s">
        <v>9</v>
      </c>
      <c r="C43" s="234" t="s">
        <v>10</v>
      </c>
      <c r="D43" s="271">
        <f>VLOOKUP(B43,Punten!$C$3:$AD$222,7,0)</f>
        <v>61.108000000000004</v>
      </c>
      <c r="E43" s="271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292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293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3">
        <v>45943</v>
      </c>
      <c r="B55" s="172" t="s">
        <v>14</v>
      </c>
      <c r="C55" s="172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293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292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292</v>
      </c>
      <c r="C63" s="98" t="s">
        <v>293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3">
        <v>45958</v>
      </c>
      <c r="B66" s="172" t="s">
        <v>8</v>
      </c>
      <c r="C66" s="172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 t="str">
        <f>VLOOKUP(B70,Punten!$C$3:$AD$222,11,0)</f>
        <v xml:space="preserve"> </v>
      </c>
      <c r="E70" s="104" t="str">
        <f>VLOOKUP(C70,Punten!$C$3:$AD$222,11,0)</f>
        <v xml:space="preserve"> 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 t="str">
        <f>VLOOKUP(B71,Punten!$C$3:$AD$222,11,0)</f>
        <v xml:space="preserve"> </v>
      </c>
      <c r="E71" s="104" t="str">
        <f>VLOOKUP(C71,Punten!$C$3:$AD$222,11,0)</f>
        <v xml:space="preserve"> 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59" t="str">
        <f>VLOOKUP(B72,Punten!$C$3:$AD$222,11,0)</f>
        <v xml:space="preserve"> </v>
      </c>
      <c r="E72" s="159" t="str">
        <f>VLOOKUP(C72,Punten!$C$3:$AD$222,11,0)</f>
        <v xml:space="preserve"> </v>
      </c>
    </row>
    <row r="73" spans="1:6" ht="15" customHeight="1" x14ac:dyDescent="0.3">
      <c r="A73" s="117">
        <v>45974</v>
      </c>
      <c r="B73" s="121" t="s">
        <v>293</v>
      </c>
      <c r="C73" s="121" t="s">
        <v>11</v>
      </c>
      <c r="D73" s="159" t="str">
        <f>VLOOKUP(B73,Punten!$C$3:$AD$222,11,0)</f>
        <v xml:space="preserve"> </v>
      </c>
      <c r="E73" s="159" t="str">
        <f>VLOOKUP(C73,Punten!$C$3:$AD$222,11,0)</f>
        <v xml:space="preserve"> </v>
      </c>
    </row>
    <row r="74" spans="1:6" ht="15" customHeight="1" x14ac:dyDescent="0.3">
      <c r="A74" s="173">
        <v>45974</v>
      </c>
      <c r="B74" s="172" t="s">
        <v>13</v>
      </c>
      <c r="C74" s="172" t="s">
        <v>8</v>
      </c>
      <c r="D74" s="159" t="str">
        <f>VLOOKUP(B74,Punten!$C$3:$AD$222,11,0)</f>
        <v xml:space="preserve"> </v>
      </c>
      <c r="E74" s="159" t="str">
        <f>VLOOKUP(C74,Punten!$C$3:$AD$222,11,0)</f>
        <v xml:space="preserve"> </v>
      </c>
    </row>
    <row r="75" spans="1:6" ht="15" customHeight="1" x14ac:dyDescent="0.3">
      <c r="A75" s="118">
        <v>45974</v>
      </c>
      <c r="B75" s="121" t="s">
        <v>9</v>
      </c>
      <c r="C75" s="121" t="s">
        <v>292</v>
      </c>
      <c r="D75" s="159" t="str">
        <f>VLOOKUP(B75,Punten!$C$3:$AD$222,11,0)</f>
        <v xml:space="preserve"> </v>
      </c>
      <c r="E75" s="159" t="str">
        <f>VLOOKUP(C75,Punten!$C$3:$AD$222,11,0)</f>
        <v xml:space="preserve"> 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 t="str">
        <f>VLOOKUP(B76,Punten!$C$3:$AD$222,11,0)</f>
        <v xml:space="preserve"> </v>
      </c>
      <c r="E76" s="104" t="str">
        <f>VLOOKUP(C76,Punten!$C$3:$AD$222,11,0)</f>
        <v xml:space="preserve"> 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292</v>
      </c>
      <c r="C78" s="98" t="s">
        <v>8</v>
      </c>
      <c r="D78" s="104" t="str">
        <f>VLOOKUP(B78,Punten!$C$3:$AD$222,12,0)</f>
        <v xml:space="preserve"> </v>
      </c>
      <c r="E78" s="104" t="str">
        <f>VLOOKUP(C78,Punten!$C$3:$AD$222,12,0)</f>
        <v xml:space="preserve"> 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 t="str">
        <f>VLOOKUP(B79,Punten!$C$3:$AD$222,12,0)</f>
        <v xml:space="preserve"> </v>
      </c>
      <c r="E79" s="104" t="str">
        <f>VLOOKUP(C79,Punten!$C$3:$AD$222,12,0)</f>
        <v xml:space="preserve"> 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 t="str">
        <f>VLOOKUP(B80,Punten!$C$3:$AD$222,12,0)</f>
        <v xml:space="preserve"> </v>
      </c>
      <c r="E80" s="104" t="str">
        <f>VLOOKUP(C80,Punten!$C$3:$AD$222,12,0)</f>
        <v xml:space="preserve"> 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 t="str">
        <f>VLOOKUP(B81,Punten!$C$3:$AD$222,12,0)</f>
        <v xml:space="preserve"> </v>
      </c>
      <c r="E81" s="104" t="str">
        <f>VLOOKUP(C81,Punten!$C$3:$AD$222,12,0)</f>
        <v xml:space="preserve"> </v>
      </c>
    </row>
    <row r="82" spans="1:5" ht="15" customHeight="1" x14ac:dyDescent="0.3">
      <c r="A82" s="96">
        <v>45987</v>
      </c>
      <c r="B82" s="98" t="s">
        <v>6</v>
      </c>
      <c r="C82" s="98" t="s">
        <v>293</v>
      </c>
      <c r="D82" s="104" t="str">
        <f>VLOOKUP(B82,Punten!$C$3:$AD$222,12,0)</f>
        <v xml:space="preserve"> </v>
      </c>
      <c r="E82" s="104" t="str">
        <f>VLOOKUP(C82,Punten!$C$3:$AD$222,12,0)</f>
        <v xml:space="preserve"> 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 t="str">
        <f>VLOOKUP(B83,Punten!$C$3:$AD$222,12,0)</f>
        <v xml:space="preserve"> </v>
      </c>
      <c r="E83" s="104" t="str">
        <f>VLOOKUP(C83,Punten!$C$3:$AD$222,12,0)</f>
        <v xml:space="preserve"> 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 t="str">
        <f>VLOOKUP(B84,Punten!$C$3:$AD$222,12,0)</f>
        <v xml:space="preserve"> </v>
      </c>
      <c r="E84" s="104" t="str">
        <f>VLOOKUP(C84,Punten!$C$3:$AD$222,12,0)</f>
        <v xml:space="preserve"> 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292</v>
      </c>
      <c r="D86" s="104" t="str">
        <f>VLOOKUP(B86,Punten!$C$3:$AD$222,13,0)</f>
        <v xml:space="preserve"> </v>
      </c>
      <c r="E86" s="104" t="str">
        <f>VLOOKUP(C86,Punten!$C$3:$AD$222,13,0)</f>
        <v xml:space="preserve"> </v>
      </c>
    </row>
    <row r="87" spans="1:5" ht="15" customHeight="1" x14ac:dyDescent="0.3">
      <c r="A87" s="171">
        <v>45992</v>
      </c>
      <c r="B87" s="172" t="s">
        <v>14</v>
      </c>
      <c r="C87" s="172" t="s">
        <v>10</v>
      </c>
      <c r="D87" s="104" t="str">
        <f>VLOOKUP(B87,Punten!$C$3:$AD$222,13,0)</f>
        <v xml:space="preserve"> </v>
      </c>
      <c r="E87" s="104" t="str">
        <f>VLOOKUP(C87,Punten!$C$3:$AD$222,13,0)</f>
        <v xml:space="preserve"> 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 t="str">
        <f>VLOOKUP(B88,Punten!$C$3:$AD$222,13,0)</f>
        <v xml:space="preserve"> </v>
      </c>
      <c r="E88" s="104" t="str">
        <f>VLOOKUP(C88,Punten!$C$3:$AD$222,13,0)</f>
        <v xml:space="preserve"> 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 t="str">
        <f>VLOOKUP(B89,Punten!$C$3:$AD$222,13,0)</f>
        <v xml:space="preserve"> </v>
      </c>
      <c r="E89" s="104" t="str">
        <f>VLOOKUP(C89,Punten!$C$3:$AD$222,13,0)</f>
        <v xml:space="preserve"> 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 t="str">
        <f>VLOOKUP(B90,Punten!$C$3:$AD$222,13,0)</f>
        <v xml:space="preserve"> </v>
      </c>
      <c r="E90" s="104" t="str">
        <f>VLOOKUP(C90,Punten!$C$3:$AD$222,13,0)</f>
        <v xml:space="preserve"> </v>
      </c>
    </row>
    <row r="91" spans="1:5" ht="15" customHeight="1" x14ac:dyDescent="0.3">
      <c r="A91" s="96">
        <v>45993</v>
      </c>
      <c r="B91" s="98" t="s">
        <v>293</v>
      </c>
      <c r="C91" s="98" t="s">
        <v>15</v>
      </c>
      <c r="D91" s="104" t="str">
        <f>VLOOKUP(B91,Punten!$C$3:$AD$222,13,0)</f>
        <v xml:space="preserve"> </v>
      </c>
      <c r="E91" s="104" t="str">
        <f>VLOOKUP(C91,Punten!$C$3:$AD$222,13,0)</f>
        <v xml:space="preserve"> 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 t="str">
        <f>VLOOKUP(B92,Punten!$C$3:$AD$222,13,0)</f>
        <v xml:space="preserve"> </v>
      </c>
      <c r="E92" s="104" t="str">
        <f>VLOOKUP(C92,Punten!$C$3:$AD$222,13,0)</f>
        <v xml:space="preserve"> 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 t="str">
        <f>VLOOKUP(B94,Punten!$C$3:$AD$222,14,0)</f>
        <v xml:space="preserve"> </v>
      </c>
      <c r="E94" s="104" t="str">
        <f>VLOOKUP(C94,Punten!$C$3:$AD$222,14,0)</f>
        <v xml:space="preserve"> 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 t="str">
        <f>VLOOKUP(B95,Punten!$C$3:$AD$222,14,0)</f>
        <v xml:space="preserve"> </v>
      </c>
      <c r="E95" s="104" t="str">
        <f>VLOOKUP(C95,Punten!$C$3:$AD$222,14,0)</f>
        <v xml:space="preserve"> </v>
      </c>
    </row>
    <row r="96" spans="1:5" ht="15" customHeight="1" x14ac:dyDescent="0.3">
      <c r="A96" s="96">
        <v>45999</v>
      </c>
      <c r="B96" s="98" t="s">
        <v>292</v>
      </c>
      <c r="C96" s="98" t="s">
        <v>16</v>
      </c>
      <c r="D96" s="104" t="str">
        <f>VLOOKUP(B96,Punten!$C$3:$AD$222,14,0)</f>
        <v xml:space="preserve"> </v>
      </c>
      <c r="E96" s="104" t="str">
        <f>VLOOKUP(C96,Punten!$C$3:$AD$222,14,0)</f>
        <v xml:space="preserve"> </v>
      </c>
    </row>
    <row r="97" spans="1:7" ht="15" customHeight="1" x14ac:dyDescent="0.3">
      <c r="A97" s="97">
        <v>46000</v>
      </c>
      <c r="B97" s="98" t="s">
        <v>293</v>
      </c>
      <c r="C97" s="98" t="s">
        <v>9</v>
      </c>
      <c r="D97" s="104" t="str">
        <f>VLOOKUP(B97,Punten!$C$3:$AD$222,14,0)</f>
        <v xml:space="preserve"> </v>
      </c>
      <c r="E97" s="104" t="str">
        <f>VLOOKUP(C97,Punten!$C$3:$AD$222,14,0)</f>
        <v xml:space="preserve"> 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 t="str">
        <f>VLOOKUP(B98,Punten!$C$3:$AD$222,14,0)</f>
        <v xml:space="preserve"> </v>
      </c>
      <c r="E98" s="104" t="str">
        <f>VLOOKUP(C98,Punten!$C$3:$AD$222,14,0)</f>
        <v xml:space="preserve"> 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 t="str">
        <f>VLOOKUP(B99,Punten!$C$3:$AD$222,14,0)</f>
        <v xml:space="preserve"> </v>
      </c>
      <c r="E99" s="104" t="str">
        <f>VLOOKUP(C99,Punten!$C$3:$AD$222,14,0)</f>
        <v xml:space="preserve"> 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 t="str">
        <f>VLOOKUP(B100,Punten!$C$3:$AD$222,14,0)</f>
        <v xml:space="preserve"> </v>
      </c>
      <c r="E100" s="104" t="str">
        <f>VLOOKUP(C100,Punten!$C$3:$AD$222,14,0)</f>
        <v xml:space="preserve"> 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96">
        <v>46007</v>
      </c>
      <c r="B104" s="98" t="s">
        <v>16</v>
      </c>
      <c r="C104" s="98" t="s">
        <v>11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8</v>
      </c>
      <c r="C105" s="98" t="s">
        <v>293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9</v>
      </c>
      <c r="C106" s="105" t="s">
        <v>15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119">
        <v>46009</v>
      </c>
      <c r="B107" s="98" t="s">
        <v>10</v>
      </c>
      <c r="C107" s="98" t="s">
        <v>13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97">
        <v>46010</v>
      </c>
      <c r="B108" s="98" t="s">
        <v>12</v>
      </c>
      <c r="C108" s="98" t="s">
        <v>292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2"/>
      <c r="B109" s="276"/>
      <c r="C109" s="170"/>
      <c r="E109" s="62"/>
      <c r="F109" s="62"/>
      <c r="G109" s="62"/>
    </row>
    <row r="110" spans="1:7" ht="22.2" customHeight="1" x14ac:dyDescent="0.3">
      <c r="A110" s="286" t="s">
        <v>288</v>
      </c>
      <c r="B110" s="286"/>
      <c r="C110" s="286"/>
      <c r="D110" s="286"/>
      <c r="E110" s="108"/>
    </row>
    <row r="111" spans="1:7" ht="15" customHeight="1" x14ac:dyDescent="0.3">
      <c r="A111" s="285" t="s">
        <v>289</v>
      </c>
      <c r="B111" s="285"/>
      <c r="C111" s="285"/>
      <c r="D111" s="285"/>
      <c r="E111" s="109" t="s">
        <v>290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292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293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292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293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1">
        <v>46037</v>
      </c>
      <c r="B128" s="172" t="s">
        <v>10</v>
      </c>
      <c r="C128" s="172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292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293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97">
        <v>46048</v>
      </c>
      <c r="B141" s="98" t="s">
        <v>292</v>
      </c>
      <c r="C141" s="98" t="s">
        <v>12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293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292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1">
        <v>46063</v>
      </c>
      <c r="B149" s="209" t="s">
        <v>8</v>
      </c>
      <c r="C149" s="172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293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293</v>
      </c>
      <c r="C156" s="98" t="s">
        <v>292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9">
        <v>46078</v>
      </c>
      <c r="B159" s="209" t="s">
        <v>5</v>
      </c>
      <c r="C159" s="172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293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292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1">
        <v>46091</v>
      </c>
      <c r="B168" s="172" t="s">
        <v>8</v>
      </c>
      <c r="C168" s="172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293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292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1">
        <v>46105</v>
      </c>
      <c r="B175" s="172" t="s">
        <v>8</v>
      </c>
      <c r="C175" s="172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292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293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292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293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292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293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292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293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293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292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2" t="s">
        <v>321</v>
      </c>
      <c r="B218" s="276"/>
      <c r="C218" s="170" t="s">
        <v>350</v>
      </c>
      <c r="E218" s="62"/>
      <c r="F218" s="62"/>
      <c r="G218" s="62"/>
    </row>
    <row r="219" spans="1:7" x14ac:dyDescent="0.3">
      <c r="A219" s="280" t="s">
        <v>354</v>
      </c>
      <c r="B219" s="281"/>
      <c r="C219" s="281"/>
      <c r="D219" s="281"/>
      <c r="E219" s="281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heetProtection algorithmName="SHA-512" hashValue="2IEnqnOcqawfQOtjIrSrOAyuJRmKjOtWnq3/qiX1ug+PJSLBP6LRKbRsbXBamRhVziNH8OeINeprcLiSxAQ2FQ==" saltValue="pJEE7o9XmXpw63T6z6S62A==" spinCount="100000" sheet="1" objects="1" scenarios="1"/>
  <sortState xmlns:xlrd2="http://schemas.microsoft.com/office/spreadsheetml/2017/richdata2" ref="A155:C161">
    <sortCondition ref="A155:A161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J11" sqref="J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22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48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51</v>
      </c>
      <c r="B4" s="137">
        <v>19</v>
      </c>
      <c r="C4" s="161"/>
      <c r="D4" s="162">
        <v>14</v>
      </c>
      <c r="E4" s="162"/>
      <c r="F4" s="162">
        <v>29</v>
      </c>
      <c r="G4" s="162">
        <v>26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69</v>
      </c>
      <c r="Q4" s="8">
        <f>COUNTIF(C4:O4,"&gt;0")</f>
        <v>3</v>
      </c>
      <c r="R4" s="8">
        <f>IF(P4=0," ",P4/Q4)</f>
        <v>23</v>
      </c>
      <c r="S4" s="94">
        <f>IF(P4=0," ",P4/(Q4*B4)*100)</f>
        <v>121.05263157894737</v>
      </c>
      <c r="T4" s="137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69</v>
      </c>
      <c r="AM4" s="123">
        <f t="shared" ref="AM4" si="1">Q4+AI4</f>
        <v>3</v>
      </c>
      <c r="AN4" s="8">
        <f>IF(AL4=0," ",AL4/AM4)</f>
        <v>23</v>
      </c>
      <c r="AO4" s="94">
        <f>IF(AL4=0," ",AL4/(AM4*T4)*100)</f>
        <v>121.05263157894737</v>
      </c>
    </row>
    <row r="5" spans="1:41" s="10" customFormat="1" ht="20.100000000000001" customHeight="1" x14ac:dyDescent="0.3">
      <c r="A5" s="26" t="s">
        <v>286</v>
      </c>
      <c r="B5" s="70">
        <v>35</v>
      </c>
      <c r="C5" s="164">
        <v>36</v>
      </c>
      <c r="D5" s="165"/>
      <c r="E5" s="165"/>
      <c r="F5" s="165"/>
      <c r="G5" s="165"/>
      <c r="H5" s="165"/>
      <c r="I5" s="165">
        <v>39</v>
      </c>
      <c r="J5" s="165">
        <v>23</v>
      </c>
      <c r="K5" s="165"/>
      <c r="L5" s="165"/>
      <c r="M5" s="165"/>
      <c r="N5" s="165"/>
      <c r="O5" s="166"/>
      <c r="P5" s="13">
        <f t="shared" ref="P5:P18" si="2">SUM(C5:O5)</f>
        <v>98</v>
      </c>
      <c r="Q5" s="11">
        <f t="shared" ref="Q5:Q18" si="3">COUNTIF(C5:O5,"&gt;0")</f>
        <v>3</v>
      </c>
      <c r="R5" s="11">
        <f t="shared" ref="R5:R18" si="4">IF(P5=0," ",P5/Q5)</f>
        <v>32.666666666666664</v>
      </c>
      <c r="S5" s="12">
        <f t="shared" ref="S5:S18" si="5">IF(P5=0," ",P5/(Q5*B5)*100)</f>
        <v>93.333333333333329</v>
      </c>
      <c r="T5" s="70">
        <v>35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98</v>
      </c>
      <c r="AM5" s="95">
        <f t="shared" ref="AM5:AM18" si="10">Q5+AI5</f>
        <v>3</v>
      </c>
      <c r="AN5" s="11">
        <f t="shared" ref="AN5:AN18" si="11">IF(AL5=0," ",AL5/AM5)</f>
        <v>32.666666666666664</v>
      </c>
      <c r="AO5" s="12">
        <f t="shared" ref="AO5:AO18" si="12">IF(AL5=0," ",AL5/(AM5*T5)*100)</f>
        <v>93.333333333333329</v>
      </c>
    </row>
    <row r="6" spans="1:41" s="10" customFormat="1" ht="20.100000000000001" customHeight="1" x14ac:dyDescent="0.3">
      <c r="A6" s="26" t="s">
        <v>52</v>
      </c>
      <c r="B6" s="70">
        <v>23</v>
      </c>
      <c r="C6" s="164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4">
        <v>41</v>
      </c>
      <c r="D7" s="165"/>
      <c r="E7" s="165">
        <v>18</v>
      </c>
      <c r="F7" s="165">
        <v>41</v>
      </c>
      <c r="G7" s="165">
        <v>24</v>
      </c>
      <c r="H7" s="165"/>
      <c r="I7" s="165"/>
      <c r="J7" s="165">
        <v>24</v>
      </c>
      <c r="K7" s="165"/>
      <c r="L7" s="165"/>
      <c r="M7" s="165"/>
      <c r="N7" s="165"/>
      <c r="O7" s="166"/>
      <c r="P7" s="13">
        <f t="shared" si="2"/>
        <v>148</v>
      </c>
      <c r="Q7" s="11">
        <f t="shared" si="3"/>
        <v>5</v>
      </c>
      <c r="R7" s="11">
        <f t="shared" si="4"/>
        <v>29.6</v>
      </c>
      <c r="S7" s="12">
        <f t="shared" si="5"/>
        <v>113.84615384615384</v>
      </c>
      <c r="T7" s="70">
        <v>26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148</v>
      </c>
      <c r="AM7" s="95">
        <f t="shared" si="10"/>
        <v>5</v>
      </c>
      <c r="AN7" s="11">
        <f t="shared" si="11"/>
        <v>29.6</v>
      </c>
      <c r="AO7" s="12">
        <f t="shared" si="12"/>
        <v>113.84615384615384</v>
      </c>
    </row>
    <row r="8" spans="1:41" s="10" customFormat="1" ht="20.100000000000001" customHeight="1" x14ac:dyDescent="0.3">
      <c r="A8" s="26" t="s">
        <v>54</v>
      </c>
      <c r="B8" s="70">
        <v>48</v>
      </c>
      <c r="C8" s="164"/>
      <c r="D8" s="165">
        <v>19</v>
      </c>
      <c r="E8" s="165">
        <v>34</v>
      </c>
      <c r="F8" s="165">
        <v>36</v>
      </c>
      <c r="G8" s="165"/>
      <c r="H8" s="165">
        <v>33</v>
      </c>
      <c r="I8" s="165">
        <v>51</v>
      </c>
      <c r="J8" s="165"/>
      <c r="K8" s="165"/>
      <c r="L8" s="165"/>
      <c r="M8" s="165"/>
      <c r="N8" s="165"/>
      <c r="O8" s="166"/>
      <c r="P8" s="13">
        <f t="shared" si="2"/>
        <v>173</v>
      </c>
      <c r="Q8" s="11">
        <f t="shared" si="3"/>
        <v>5</v>
      </c>
      <c r="R8" s="11">
        <f t="shared" si="4"/>
        <v>34.6</v>
      </c>
      <c r="S8" s="12">
        <f t="shared" si="5"/>
        <v>72.083333333333329</v>
      </c>
      <c r="T8" s="70">
        <v>48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173</v>
      </c>
      <c r="AM8" s="95">
        <f t="shared" si="10"/>
        <v>5</v>
      </c>
      <c r="AN8" s="11">
        <f t="shared" si="11"/>
        <v>34.6</v>
      </c>
      <c r="AO8" s="12">
        <f t="shared" si="12"/>
        <v>72.083333333333329</v>
      </c>
    </row>
    <row r="9" spans="1:41" s="10" customFormat="1" ht="20.100000000000001" customHeight="1" x14ac:dyDescent="0.3">
      <c r="A9" s="69" t="s">
        <v>55</v>
      </c>
      <c r="B9" s="70">
        <v>25</v>
      </c>
      <c r="C9" s="164">
        <v>29</v>
      </c>
      <c r="D9" s="165"/>
      <c r="E9" s="165"/>
      <c r="F9" s="165">
        <v>15</v>
      </c>
      <c r="G9" s="165"/>
      <c r="H9" s="165">
        <v>18</v>
      </c>
      <c r="I9" s="165">
        <v>17</v>
      </c>
      <c r="J9" s="165"/>
      <c r="K9" s="165"/>
      <c r="L9" s="165"/>
      <c r="M9" s="165"/>
      <c r="N9" s="165"/>
      <c r="O9" s="166"/>
      <c r="P9" s="13">
        <f t="shared" si="2"/>
        <v>79</v>
      </c>
      <c r="Q9" s="11">
        <f t="shared" si="3"/>
        <v>4</v>
      </c>
      <c r="R9" s="11">
        <f t="shared" si="4"/>
        <v>19.75</v>
      </c>
      <c r="S9" s="12">
        <f t="shared" si="5"/>
        <v>79</v>
      </c>
      <c r="T9" s="70">
        <v>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79</v>
      </c>
      <c r="AM9" s="95">
        <f t="shared" si="10"/>
        <v>4</v>
      </c>
      <c r="AN9" s="11">
        <f t="shared" si="11"/>
        <v>19.75</v>
      </c>
      <c r="AO9" s="12">
        <f t="shared" si="12"/>
        <v>79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4"/>
      <c r="D10" s="165">
        <v>14</v>
      </c>
      <c r="E10" s="165">
        <v>14</v>
      </c>
      <c r="F10" s="165"/>
      <c r="G10" s="165">
        <v>9</v>
      </c>
      <c r="H10" s="165"/>
      <c r="I10" s="165">
        <v>16</v>
      </c>
      <c r="J10" s="165"/>
      <c r="K10" s="165"/>
      <c r="L10" s="165"/>
      <c r="M10" s="165"/>
      <c r="N10" s="165"/>
      <c r="O10" s="166"/>
      <c r="P10" s="13">
        <f t="shared" si="2"/>
        <v>53</v>
      </c>
      <c r="Q10" s="11">
        <f t="shared" si="3"/>
        <v>4</v>
      </c>
      <c r="R10" s="11">
        <f t="shared" si="4"/>
        <v>13.25</v>
      </c>
      <c r="S10" s="12">
        <f t="shared" si="5"/>
        <v>88.333333333333329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53</v>
      </c>
      <c r="AM10" s="95">
        <f t="shared" si="10"/>
        <v>4</v>
      </c>
      <c r="AN10" s="11">
        <f t="shared" si="11"/>
        <v>13.25</v>
      </c>
      <c r="AO10" s="12">
        <f t="shared" si="12"/>
        <v>88.333333333333329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4"/>
      <c r="D11" s="165">
        <v>22</v>
      </c>
      <c r="E11" s="165"/>
      <c r="F11" s="165"/>
      <c r="G11" s="165">
        <v>26</v>
      </c>
      <c r="H11" s="165">
        <v>20</v>
      </c>
      <c r="I11" s="165"/>
      <c r="J11" s="165">
        <v>26</v>
      </c>
      <c r="K11" s="165"/>
      <c r="L11" s="165"/>
      <c r="M11" s="165"/>
      <c r="N11" s="165"/>
      <c r="O11" s="166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4">
        <v>30</v>
      </c>
      <c r="D12" s="165">
        <v>19</v>
      </c>
      <c r="E12" s="165">
        <v>22</v>
      </c>
      <c r="F12" s="165">
        <v>48</v>
      </c>
      <c r="G12" s="165">
        <v>11</v>
      </c>
      <c r="H12" s="165">
        <v>25</v>
      </c>
      <c r="I12" s="165"/>
      <c r="J12" s="165">
        <v>23</v>
      </c>
      <c r="K12" s="165"/>
      <c r="L12" s="165"/>
      <c r="M12" s="165"/>
      <c r="N12" s="165"/>
      <c r="O12" s="166"/>
      <c r="P12" s="13">
        <f t="shared" si="2"/>
        <v>178</v>
      </c>
      <c r="Q12" s="11">
        <f t="shared" si="3"/>
        <v>7</v>
      </c>
      <c r="R12" s="11">
        <f t="shared" si="4"/>
        <v>25.428571428571427</v>
      </c>
      <c r="S12" s="12">
        <f t="shared" si="5"/>
        <v>101.71428571428571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178</v>
      </c>
      <c r="AM12" s="95">
        <f t="shared" si="10"/>
        <v>7</v>
      </c>
      <c r="AN12" s="11">
        <f t="shared" si="11"/>
        <v>25.428571428571427</v>
      </c>
      <c r="AO12" s="12">
        <f t="shared" si="12"/>
        <v>101.71428571428571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4"/>
      <c r="D13" s="165">
        <v>20</v>
      </c>
      <c r="E13" s="165">
        <v>27</v>
      </c>
      <c r="F13" s="165">
        <v>29</v>
      </c>
      <c r="G13" s="165"/>
      <c r="H13" s="165">
        <v>27</v>
      </c>
      <c r="I13" s="165"/>
      <c r="J13" s="165">
        <v>39</v>
      </c>
      <c r="K13" s="165"/>
      <c r="L13" s="165"/>
      <c r="M13" s="165"/>
      <c r="N13" s="165"/>
      <c r="O13" s="166"/>
      <c r="P13" s="13">
        <f t="shared" si="2"/>
        <v>142</v>
      </c>
      <c r="Q13" s="11">
        <f t="shared" si="3"/>
        <v>5</v>
      </c>
      <c r="R13" s="11">
        <f t="shared" si="4"/>
        <v>28.4</v>
      </c>
      <c r="S13" s="12">
        <f t="shared" si="5"/>
        <v>97.931034482758619</v>
      </c>
      <c r="T13" s="70">
        <v>29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142</v>
      </c>
      <c r="AM13" s="95">
        <f t="shared" si="10"/>
        <v>5</v>
      </c>
      <c r="AN13" s="11">
        <f t="shared" si="11"/>
        <v>28.4</v>
      </c>
      <c r="AO13" s="12">
        <f t="shared" si="12"/>
        <v>97.931034482758619</v>
      </c>
    </row>
    <row r="14" spans="1:41" s="10" customFormat="1" ht="20.100000000000001" customHeight="1" x14ac:dyDescent="0.3">
      <c r="A14" s="26" t="s">
        <v>341</v>
      </c>
      <c r="B14" s="131">
        <v>27</v>
      </c>
      <c r="C14" s="164">
        <v>34</v>
      </c>
      <c r="D14" s="165"/>
      <c r="E14" s="165"/>
      <c r="F14" s="165"/>
      <c r="G14" s="165"/>
      <c r="H14" s="165"/>
      <c r="I14" s="165">
        <v>32</v>
      </c>
      <c r="J14" s="165"/>
      <c r="K14" s="165"/>
      <c r="L14" s="165"/>
      <c r="M14" s="165"/>
      <c r="N14" s="165"/>
      <c r="O14" s="166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338</v>
      </c>
      <c r="B15" s="70">
        <v>30</v>
      </c>
      <c r="C15" s="164">
        <v>27</v>
      </c>
      <c r="D15" s="165"/>
      <c r="E15" s="165">
        <v>24</v>
      </c>
      <c r="F15" s="165"/>
      <c r="G15" s="165">
        <v>6</v>
      </c>
      <c r="H15" s="165">
        <v>39</v>
      </c>
      <c r="I15" s="165">
        <v>29</v>
      </c>
      <c r="J15" s="165">
        <v>39</v>
      </c>
      <c r="K15" s="165"/>
      <c r="L15" s="165"/>
      <c r="M15" s="165"/>
      <c r="N15" s="165"/>
      <c r="O15" s="166"/>
      <c r="P15" s="13">
        <f t="shared" si="2"/>
        <v>164</v>
      </c>
      <c r="Q15" s="11">
        <f t="shared" si="3"/>
        <v>6</v>
      </c>
      <c r="R15" s="11">
        <f t="shared" si="4"/>
        <v>27.333333333333332</v>
      </c>
      <c r="S15" s="12">
        <f t="shared" si="5"/>
        <v>91.111111111111114</v>
      </c>
      <c r="T15" s="70">
        <v>30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164</v>
      </c>
      <c r="AM15" s="95">
        <f t="shared" si="10"/>
        <v>6</v>
      </c>
      <c r="AN15" s="11">
        <f t="shared" si="11"/>
        <v>27.333333333333332</v>
      </c>
      <c r="AO15" s="12">
        <f t="shared" si="12"/>
        <v>91.111111111111114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9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1264</v>
      </c>
      <c r="Q19" s="19">
        <f t="shared" si="14"/>
        <v>48</v>
      </c>
      <c r="R19" s="19">
        <f>P19/Q19</f>
        <v>26.333333333333332</v>
      </c>
      <c r="S19" s="22"/>
      <c r="T19" s="180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1264</v>
      </c>
      <c r="AM19" s="18">
        <f>SUM(AM4:AM18)</f>
        <v>48</v>
      </c>
      <c r="AN19" s="18">
        <f t="shared" ref="AN19" si="16">AL19/AM19</f>
        <v>26.333333333333332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85" zoomScaleNormal="85" workbookViewId="0">
      <selection activeCell="AT9" sqref="AT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14" t="s">
        <v>60</v>
      </c>
      <c r="B2" s="316" t="s">
        <v>42</v>
      </c>
      <c r="C2" s="301" t="s">
        <v>61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62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315"/>
      <c r="B3" s="31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8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1"/>
      <c r="AI3" s="319"/>
      <c r="AJ3" s="320"/>
      <c r="AK3" s="76"/>
      <c r="AL3" s="321"/>
      <c r="AM3" s="319"/>
      <c r="AN3" s="319"/>
      <c r="AO3" s="320"/>
    </row>
    <row r="4" spans="1:41" s="10" customFormat="1" ht="20.100000000000001" customHeight="1" x14ac:dyDescent="0.3">
      <c r="A4" s="178" t="s">
        <v>308</v>
      </c>
      <c r="B4" s="137">
        <v>31</v>
      </c>
      <c r="C4" s="161"/>
      <c r="D4" s="162"/>
      <c r="E4" s="162"/>
      <c r="F4" s="162"/>
      <c r="G4" s="162">
        <v>9</v>
      </c>
      <c r="H4" s="162"/>
      <c r="I4" s="162">
        <v>34</v>
      </c>
      <c r="J4" s="162">
        <v>23</v>
      </c>
      <c r="K4" s="162"/>
      <c r="L4" s="162"/>
      <c r="M4" s="162"/>
      <c r="N4" s="162"/>
      <c r="O4" s="163"/>
      <c r="P4" s="9">
        <f>SUM(C4:O4)</f>
        <v>66</v>
      </c>
      <c r="Q4" s="8">
        <f>COUNTIF(C4:O4,"&gt;0")</f>
        <v>3</v>
      </c>
      <c r="R4" s="8">
        <f>IF(P4=0," ",P4/Q4)</f>
        <v>22</v>
      </c>
      <c r="S4" s="94">
        <f>IF(P4=0," ",P4/(Q4*B4)*100)</f>
        <v>70.967741935483872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66</v>
      </c>
      <c r="AM4" s="123">
        <f t="shared" ref="AM4" si="1">Q4+AI4</f>
        <v>3</v>
      </c>
      <c r="AN4" s="8">
        <f>IF(AL4=0," ",AL4/AM4)</f>
        <v>22</v>
      </c>
      <c r="AO4" s="94">
        <f>IF(AL4=0," ",AL4/(AM4*T4)*100)</f>
        <v>70.967741935483872</v>
      </c>
    </row>
    <row r="5" spans="1:41" s="10" customFormat="1" ht="20.100000000000001" customHeight="1" x14ac:dyDescent="0.3">
      <c r="A5" s="26" t="s">
        <v>63</v>
      </c>
      <c r="B5" s="70">
        <v>52</v>
      </c>
      <c r="C5" s="164"/>
      <c r="D5" s="165"/>
      <c r="E5" s="165">
        <v>54</v>
      </c>
      <c r="F5" s="165">
        <v>69</v>
      </c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123</v>
      </c>
      <c r="Q5" s="11">
        <f t="shared" ref="Q5:Q18" si="3">COUNTIF(C5:O5,"&gt;0")</f>
        <v>2</v>
      </c>
      <c r="R5" s="11">
        <f t="shared" ref="R5:R18" si="4">IF(P5=0," ",P5/Q5)</f>
        <v>61.5</v>
      </c>
      <c r="S5" s="12">
        <f t="shared" ref="S5:S18" si="5">IF(P5=0," ",P5/(Q5*B5)*100)</f>
        <v>118.26923076923077</v>
      </c>
      <c r="T5" s="70">
        <v>52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123</v>
      </c>
      <c r="AM5" s="95">
        <f t="shared" ref="AM5:AM18" si="10">Q5+AI5</f>
        <v>2</v>
      </c>
      <c r="AN5" s="11">
        <f t="shared" ref="AN5:AN18" si="11">IF(AL5=0," ",AL5/AM5)</f>
        <v>61.5</v>
      </c>
      <c r="AO5" s="12">
        <f t="shared" ref="AO5:AO18" si="12">IF(AL5=0," ",AL5/(AM5*T5)*100)</f>
        <v>118.26923076923077</v>
      </c>
    </row>
    <row r="6" spans="1:41" s="10" customFormat="1" ht="20.100000000000001" customHeight="1" x14ac:dyDescent="0.3">
      <c r="A6" s="26" t="s">
        <v>64</v>
      </c>
      <c r="B6" s="70">
        <v>42</v>
      </c>
      <c r="C6" s="164"/>
      <c r="D6" s="165"/>
      <c r="E6" s="165">
        <v>30</v>
      </c>
      <c r="F6" s="165"/>
      <c r="G6" s="165"/>
      <c r="H6" s="165">
        <v>45</v>
      </c>
      <c r="I6" s="165"/>
      <c r="J6" s="165"/>
      <c r="K6" s="165"/>
      <c r="L6" s="165"/>
      <c r="M6" s="165"/>
      <c r="N6" s="165"/>
      <c r="O6" s="166"/>
      <c r="P6" s="13">
        <f t="shared" si="2"/>
        <v>75</v>
      </c>
      <c r="Q6" s="11">
        <f t="shared" si="3"/>
        <v>2</v>
      </c>
      <c r="R6" s="11">
        <f t="shared" si="4"/>
        <v>37.5</v>
      </c>
      <c r="S6" s="12">
        <f t="shared" si="5"/>
        <v>89.285714285714292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75</v>
      </c>
      <c r="AM6" s="95">
        <f t="shared" si="10"/>
        <v>2</v>
      </c>
      <c r="AN6" s="11">
        <f t="shared" si="11"/>
        <v>37.5</v>
      </c>
      <c r="AO6" s="12">
        <f t="shared" si="12"/>
        <v>89.285714285714292</v>
      </c>
    </row>
    <row r="7" spans="1:41" s="10" customFormat="1" ht="20.100000000000001" customHeight="1" x14ac:dyDescent="0.3">
      <c r="A7" s="26" t="s">
        <v>65</v>
      </c>
      <c r="B7" s="70">
        <v>18</v>
      </c>
      <c r="C7" s="164"/>
      <c r="D7" s="165"/>
      <c r="E7" s="165"/>
      <c r="F7" s="165"/>
      <c r="G7" s="165"/>
      <c r="H7" s="165">
        <v>12</v>
      </c>
      <c r="I7" s="165"/>
      <c r="J7" s="165"/>
      <c r="K7" s="165"/>
      <c r="L7" s="165"/>
      <c r="M7" s="165"/>
      <c r="N7" s="165"/>
      <c r="O7" s="166"/>
      <c r="P7" s="13">
        <f t="shared" si="2"/>
        <v>12</v>
      </c>
      <c r="Q7" s="11">
        <f t="shared" si="3"/>
        <v>1</v>
      </c>
      <c r="R7" s="11">
        <f t="shared" si="4"/>
        <v>12</v>
      </c>
      <c r="S7" s="12">
        <f t="shared" si="5"/>
        <v>66.666666666666657</v>
      </c>
      <c r="T7" s="70">
        <v>18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</v>
      </c>
      <c r="AM7" s="95">
        <f t="shared" si="10"/>
        <v>1</v>
      </c>
      <c r="AN7" s="11">
        <f t="shared" si="11"/>
        <v>12</v>
      </c>
      <c r="AO7" s="12">
        <f t="shared" si="12"/>
        <v>66.666666666666657</v>
      </c>
    </row>
    <row r="8" spans="1:41" s="10" customFormat="1" ht="20.100000000000001" customHeight="1" x14ac:dyDescent="0.3">
      <c r="A8" s="26" t="s">
        <v>66</v>
      </c>
      <c r="B8" s="70">
        <v>25</v>
      </c>
      <c r="C8" s="164"/>
      <c r="D8" s="165"/>
      <c r="E8" s="165"/>
      <c r="F8" s="165"/>
      <c r="G8" s="165"/>
      <c r="H8" s="165"/>
      <c r="I8" s="165">
        <v>18</v>
      </c>
      <c r="J8" s="165"/>
      <c r="K8" s="165"/>
      <c r="L8" s="165"/>
      <c r="M8" s="165"/>
      <c r="N8" s="165"/>
      <c r="O8" s="166"/>
      <c r="P8" s="13">
        <f t="shared" si="2"/>
        <v>18</v>
      </c>
      <c r="Q8" s="11">
        <f t="shared" si="3"/>
        <v>1</v>
      </c>
      <c r="R8" s="11">
        <f t="shared" si="4"/>
        <v>18</v>
      </c>
      <c r="S8" s="12">
        <f t="shared" si="5"/>
        <v>72</v>
      </c>
      <c r="T8" s="70">
        <v>25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18</v>
      </c>
      <c r="AM8" s="95">
        <f t="shared" si="10"/>
        <v>1</v>
      </c>
      <c r="AN8" s="11">
        <f t="shared" si="11"/>
        <v>18</v>
      </c>
      <c r="AO8" s="12">
        <f t="shared" si="12"/>
        <v>72</v>
      </c>
    </row>
    <row r="9" spans="1:41" s="10" customFormat="1" ht="20.100000000000001" customHeight="1" x14ac:dyDescent="0.3">
      <c r="A9" s="26" t="s">
        <v>67</v>
      </c>
      <c r="B9" s="70">
        <v>53</v>
      </c>
      <c r="C9" s="164">
        <v>44</v>
      </c>
      <c r="D9" s="165"/>
      <c r="E9" s="165">
        <v>63</v>
      </c>
      <c r="F9" s="165">
        <v>53</v>
      </c>
      <c r="G9" s="165">
        <v>44</v>
      </c>
      <c r="H9" s="165"/>
      <c r="I9" s="165">
        <v>53</v>
      </c>
      <c r="J9" s="165"/>
      <c r="K9" s="165"/>
      <c r="L9" s="165"/>
      <c r="M9" s="165"/>
      <c r="N9" s="165"/>
      <c r="O9" s="166"/>
      <c r="P9" s="13">
        <f t="shared" si="2"/>
        <v>257</v>
      </c>
      <c r="Q9" s="11">
        <f t="shared" si="3"/>
        <v>5</v>
      </c>
      <c r="R9" s="11">
        <f t="shared" si="4"/>
        <v>51.4</v>
      </c>
      <c r="S9" s="12">
        <f t="shared" si="5"/>
        <v>96.981132075471692</v>
      </c>
      <c r="T9" s="70">
        <v>53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257</v>
      </c>
      <c r="AM9" s="95">
        <f t="shared" si="10"/>
        <v>5</v>
      </c>
      <c r="AN9" s="11">
        <f t="shared" si="11"/>
        <v>51.4</v>
      </c>
      <c r="AO9" s="12">
        <f t="shared" si="12"/>
        <v>96.981132075471692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4"/>
      <c r="D10" s="165"/>
      <c r="E10" s="165"/>
      <c r="F10" s="165">
        <v>55</v>
      </c>
      <c r="G10" s="165">
        <v>57</v>
      </c>
      <c r="H10" s="165">
        <v>49</v>
      </c>
      <c r="I10" s="165"/>
      <c r="J10" s="165"/>
      <c r="K10" s="165"/>
      <c r="L10" s="165"/>
      <c r="M10" s="165"/>
      <c r="N10" s="165"/>
      <c r="O10" s="166"/>
      <c r="P10" s="13">
        <f t="shared" si="2"/>
        <v>161</v>
      </c>
      <c r="Q10" s="11">
        <f t="shared" si="3"/>
        <v>3</v>
      </c>
      <c r="R10" s="11">
        <f t="shared" si="4"/>
        <v>53.666666666666664</v>
      </c>
      <c r="S10" s="12">
        <f t="shared" si="5"/>
        <v>105.22875816993465</v>
      </c>
      <c r="T10" s="70">
        <v>51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161</v>
      </c>
      <c r="AM10" s="95">
        <f t="shared" si="10"/>
        <v>3</v>
      </c>
      <c r="AN10" s="11">
        <f t="shared" si="11"/>
        <v>53.666666666666664</v>
      </c>
      <c r="AO10" s="12">
        <f t="shared" si="12"/>
        <v>105.22875816993465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4">
        <v>26</v>
      </c>
      <c r="D11" s="165">
        <v>20</v>
      </c>
      <c r="E11" s="165"/>
      <c r="F11" s="165"/>
      <c r="G11" s="165"/>
      <c r="H11" s="165"/>
      <c r="I11" s="165"/>
      <c r="J11" s="165">
        <v>35</v>
      </c>
      <c r="K11" s="165"/>
      <c r="L11" s="165"/>
      <c r="M11" s="165"/>
      <c r="N11" s="165"/>
      <c r="O11" s="166"/>
      <c r="P11" s="13">
        <f t="shared" si="2"/>
        <v>81</v>
      </c>
      <c r="Q11" s="11">
        <f t="shared" si="3"/>
        <v>3</v>
      </c>
      <c r="R11" s="11">
        <f t="shared" si="4"/>
        <v>27</v>
      </c>
      <c r="S11" s="12">
        <f t="shared" si="5"/>
        <v>96.428571428571431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81</v>
      </c>
      <c r="AM11" s="95">
        <f t="shared" si="10"/>
        <v>3</v>
      </c>
      <c r="AN11" s="11">
        <f t="shared" si="11"/>
        <v>27</v>
      </c>
      <c r="AO11" s="12">
        <f t="shared" si="12"/>
        <v>96.428571428571431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4">
        <v>78</v>
      </c>
      <c r="D12" s="165">
        <v>59</v>
      </c>
      <c r="E12" s="165"/>
      <c r="F12" s="165">
        <v>70</v>
      </c>
      <c r="G12" s="165"/>
      <c r="H12" s="165">
        <v>91</v>
      </c>
      <c r="I12" s="165">
        <v>62</v>
      </c>
      <c r="J12" s="165">
        <v>78</v>
      </c>
      <c r="K12" s="165"/>
      <c r="L12" s="165"/>
      <c r="M12" s="165"/>
      <c r="N12" s="165"/>
      <c r="O12" s="166"/>
      <c r="P12" s="13">
        <f t="shared" si="2"/>
        <v>438</v>
      </c>
      <c r="Q12" s="11">
        <f t="shared" si="3"/>
        <v>6</v>
      </c>
      <c r="R12" s="11">
        <f t="shared" si="4"/>
        <v>73</v>
      </c>
      <c r="S12" s="12">
        <f t="shared" si="5"/>
        <v>81.111111111111114</v>
      </c>
      <c r="T12" s="70">
        <v>90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438</v>
      </c>
      <c r="AM12" s="95">
        <f t="shared" si="10"/>
        <v>6</v>
      </c>
      <c r="AN12" s="11">
        <f t="shared" si="11"/>
        <v>73</v>
      </c>
      <c r="AO12" s="12">
        <f t="shared" si="12"/>
        <v>81.111111111111114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4">
        <v>36</v>
      </c>
      <c r="D13" s="165"/>
      <c r="E13" s="165"/>
      <c r="F13" s="165"/>
      <c r="G13" s="165">
        <v>28</v>
      </c>
      <c r="H13" s="165">
        <v>15</v>
      </c>
      <c r="I13" s="165"/>
      <c r="J13" s="165">
        <v>36</v>
      </c>
      <c r="K13" s="165"/>
      <c r="L13" s="165"/>
      <c r="M13" s="165"/>
      <c r="N13" s="165"/>
      <c r="O13" s="166"/>
      <c r="P13" s="13">
        <f t="shared" si="2"/>
        <v>115</v>
      </c>
      <c r="Q13" s="11">
        <f t="shared" si="3"/>
        <v>4</v>
      </c>
      <c r="R13" s="11">
        <f t="shared" si="4"/>
        <v>28.75</v>
      </c>
      <c r="S13" s="12">
        <f t="shared" si="5"/>
        <v>110.57692307692308</v>
      </c>
      <c r="T13" s="70">
        <v>26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115</v>
      </c>
      <c r="AM13" s="95">
        <f t="shared" si="10"/>
        <v>4</v>
      </c>
      <c r="AN13" s="11">
        <f t="shared" si="11"/>
        <v>28.75</v>
      </c>
      <c r="AO13" s="12">
        <f t="shared" si="12"/>
        <v>110.57692307692308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4">
        <v>36</v>
      </c>
      <c r="D14" s="165">
        <v>40</v>
      </c>
      <c r="E14" s="165"/>
      <c r="F14" s="165">
        <v>42</v>
      </c>
      <c r="G14" s="165">
        <v>41</v>
      </c>
      <c r="H14" s="165">
        <v>47</v>
      </c>
      <c r="I14" s="165">
        <v>34</v>
      </c>
      <c r="J14" s="165"/>
      <c r="K14" s="165"/>
      <c r="L14" s="165"/>
      <c r="M14" s="165"/>
      <c r="N14" s="165"/>
      <c r="O14" s="166"/>
      <c r="P14" s="13">
        <f t="shared" si="2"/>
        <v>240</v>
      </c>
      <c r="Q14" s="11">
        <f t="shared" si="3"/>
        <v>6</v>
      </c>
      <c r="R14" s="11">
        <f t="shared" si="4"/>
        <v>40</v>
      </c>
      <c r="S14" s="12">
        <f t="shared" si="5"/>
        <v>78.431372549019613</v>
      </c>
      <c r="T14" s="70">
        <v>51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240</v>
      </c>
      <c r="AM14" s="95">
        <f t="shared" si="10"/>
        <v>6</v>
      </c>
      <c r="AN14" s="11">
        <f t="shared" si="11"/>
        <v>40</v>
      </c>
      <c r="AO14" s="12">
        <f t="shared" si="12"/>
        <v>78.431372549019613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4">
        <v>26</v>
      </c>
      <c r="D15" s="165"/>
      <c r="E15" s="165">
        <v>15</v>
      </c>
      <c r="F15" s="165"/>
      <c r="G15" s="165">
        <v>38</v>
      </c>
      <c r="H15" s="165"/>
      <c r="I15" s="165">
        <v>36</v>
      </c>
      <c r="J15" s="165">
        <v>37</v>
      </c>
      <c r="K15" s="165"/>
      <c r="L15" s="165"/>
      <c r="M15" s="165"/>
      <c r="N15" s="165"/>
      <c r="O15" s="166"/>
      <c r="P15" s="13">
        <f t="shared" si="2"/>
        <v>152</v>
      </c>
      <c r="Q15" s="11">
        <f t="shared" si="3"/>
        <v>5</v>
      </c>
      <c r="R15" s="11">
        <f t="shared" si="4"/>
        <v>30.4</v>
      </c>
      <c r="S15" s="12">
        <f t="shared" si="5"/>
        <v>92.121212121212125</v>
      </c>
      <c r="T15" s="70">
        <v>33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152</v>
      </c>
      <c r="AM15" s="95">
        <f t="shared" si="10"/>
        <v>5</v>
      </c>
      <c r="AN15" s="11">
        <f t="shared" si="11"/>
        <v>30.4</v>
      </c>
      <c r="AO15" s="12">
        <f t="shared" si="12"/>
        <v>92.121212121212125</v>
      </c>
    </row>
    <row r="16" spans="1:41" s="10" customFormat="1" ht="20.100000000000001" customHeight="1" x14ac:dyDescent="0.3">
      <c r="A16" s="26" t="s">
        <v>339</v>
      </c>
      <c r="B16" s="131">
        <v>20</v>
      </c>
      <c r="C16" s="164"/>
      <c r="D16" s="165">
        <v>16</v>
      </c>
      <c r="E16" s="165">
        <v>11</v>
      </c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27</v>
      </c>
      <c r="Q16" s="11">
        <f t="shared" si="3"/>
        <v>2</v>
      </c>
      <c r="R16" s="11">
        <f t="shared" si="4"/>
        <v>13.5</v>
      </c>
      <c r="S16" s="12">
        <f t="shared" si="5"/>
        <v>67.5</v>
      </c>
      <c r="T16" s="131">
        <v>20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27</v>
      </c>
      <c r="AM16" s="95">
        <f t="shared" si="10"/>
        <v>2</v>
      </c>
      <c r="AN16" s="11">
        <f t="shared" si="11"/>
        <v>13.5</v>
      </c>
      <c r="AO16" s="12">
        <f t="shared" si="12"/>
        <v>67.5</v>
      </c>
    </row>
    <row r="17" spans="1:41" s="10" customFormat="1" ht="20.100000000000001" customHeight="1" x14ac:dyDescent="0.3">
      <c r="A17" s="26" t="s">
        <v>351</v>
      </c>
      <c r="B17" s="131">
        <v>52</v>
      </c>
      <c r="C17" s="164"/>
      <c r="D17" s="165">
        <v>50</v>
      </c>
      <c r="E17" s="165">
        <v>45</v>
      </c>
      <c r="F17" s="165">
        <v>61</v>
      </c>
      <c r="G17" s="165"/>
      <c r="H17" s="165"/>
      <c r="I17" s="165"/>
      <c r="J17" s="165">
        <v>52</v>
      </c>
      <c r="K17" s="165"/>
      <c r="L17" s="165"/>
      <c r="M17" s="165"/>
      <c r="N17" s="165"/>
      <c r="O17" s="166"/>
      <c r="P17" s="13">
        <f t="shared" si="2"/>
        <v>208</v>
      </c>
      <c r="Q17" s="11">
        <f t="shared" si="3"/>
        <v>4</v>
      </c>
      <c r="R17" s="11">
        <f t="shared" si="4"/>
        <v>52</v>
      </c>
      <c r="S17" s="12">
        <f t="shared" si="5"/>
        <v>100</v>
      </c>
      <c r="T17" s="131">
        <v>52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208</v>
      </c>
      <c r="AM17" s="95">
        <f t="shared" si="10"/>
        <v>4</v>
      </c>
      <c r="AN17" s="11">
        <f t="shared" si="11"/>
        <v>52</v>
      </c>
      <c r="AO17" s="12">
        <f t="shared" si="12"/>
        <v>100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7"/>
      <c r="D18" s="168">
        <v>42</v>
      </c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1">
        <f>SUM(B4:B18)</f>
        <v>603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>SUM(O4:O18)</f>
        <v>0</v>
      </c>
      <c r="P19" s="19">
        <f t="shared" ref="P19:Q19" si="14">SUM(P4:P17)</f>
        <v>1973</v>
      </c>
      <c r="Q19" s="19">
        <f t="shared" si="14"/>
        <v>47</v>
      </c>
      <c r="R19" s="19">
        <f>P19/Q19</f>
        <v>41.978723404255319</v>
      </c>
      <c r="S19" s="22"/>
      <c r="T19" s="180">
        <f>SUM(T4:T18)</f>
        <v>603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2015</v>
      </c>
      <c r="AM19" s="18">
        <f>SUM(AM4:AM18)</f>
        <v>48</v>
      </c>
      <c r="AN19" s="18">
        <f t="shared" ref="AN19" si="17">AL19/AM19</f>
        <v>41.979166666666664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="85" zoomScaleNormal="85" workbookViewId="0">
      <selection activeCell="J8" sqref="J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14" t="s">
        <v>75</v>
      </c>
      <c r="B2" s="299" t="s">
        <v>42</v>
      </c>
      <c r="C2" s="301" t="s">
        <v>76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77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315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78</v>
      </c>
      <c r="B4" s="137">
        <v>32</v>
      </c>
      <c r="C4" s="161">
        <v>18</v>
      </c>
      <c r="D4" s="162">
        <v>33</v>
      </c>
      <c r="E4" s="162"/>
      <c r="F4" s="162">
        <v>48</v>
      </c>
      <c r="G4" s="162"/>
      <c r="H4" s="162">
        <v>26</v>
      </c>
      <c r="I4" s="162"/>
      <c r="J4" s="162">
        <v>39</v>
      </c>
      <c r="K4" s="162"/>
      <c r="L4" s="162"/>
      <c r="M4" s="162"/>
      <c r="N4" s="162"/>
      <c r="O4" s="163"/>
      <c r="P4" s="9">
        <f>SUM(C4:O4)</f>
        <v>164</v>
      </c>
      <c r="Q4" s="8">
        <f>COUNTIF(C4:O4,"&gt;0")</f>
        <v>5</v>
      </c>
      <c r="R4" s="8">
        <f>IF(P4=0," ",P4/Q4)</f>
        <v>32.799999999999997</v>
      </c>
      <c r="S4" s="94">
        <f>IF(P4=0," ",P4/(Q4*B4)*100)</f>
        <v>102.49999999999999</v>
      </c>
      <c r="T4" s="71">
        <v>32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5</v>
      </c>
      <c r="AN4" s="8">
        <f>IF(AL4=0," ",AL4/AM4)</f>
        <v>32.799999999999997</v>
      </c>
      <c r="AO4" s="94">
        <f>IF(AL4=0," ",AL4/(AM4*T4)*100)</f>
        <v>102.49999999999999</v>
      </c>
    </row>
    <row r="5" spans="1:41" s="10" customFormat="1" ht="20.100000000000001" customHeight="1" x14ac:dyDescent="0.3">
      <c r="A5" s="26" t="s">
        <v>79</v>
      </c>
      <c r="B5" s="70">
        <v>18</v>
      </c>
      <c r="C5" s="164">
        <v>11</v>
      </c>
      <c r="D5" s="165">
        <v>11</v>
      </c>
      <c r="E5" s="165">
        <v>6</v>
      </c>
      <c r="F5" s="165"/>
      <c r="G5" s="165">
        <v>26</v>
      </c>
      <c r="H5" s="165"/>
      <c r="I5" s="165">
        <v>17</v>
      </c>
      <c r="J5" s="165">
        <v>6</v>
      </c>
      <c r="K5" s="165"/>
      <c r="L5" s="165"/>
      <c r="M5" s="165"/>
      <c r="N5" s="165"/>
      <c r="O5" s="166"/>
      <c r="P5" s="13">
        <f t="shared" ref="P5:P18" si="2">SUM(C5:O5)</f>
        <v>77</v>
      </c>
      <c r="Q5" s="11">
        <f t="shared" ref="Q5:Q18" si="3">COUNTIF(C5:O5,"&gt;0")</f>
        <v>6</v>
      </c>
      <c r="R5" s="11">
        <f t="shared" ref="R5:R18" si="4">IF(P5=0," ",P5/Q5)</f>
        <v>12.833333333333334</v>
      </c>
      <c r="S5" s="12">
        <f t="shared" ref="S5:S18" si="5">IF(P5=0," ",P5/(Q5*B5)*100)</f>
        <v>71.296296296296291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77</v>
      </c>
      <c r="AM5" s="95">
        <f t="shared" ref="AM5:AM18" si="10">Q5+AI5</f>
        <v>6</v>
      </c>
      <c r="AN5" s="11">
        <f t="shared" ref="AN5:AN18" si="11">IF(AL5=0," ",AL5/AM5)</f>
        <v>12.833333333333334</v>
      </c>
      <c r="AO5" s="12">
        <f t="shared" ref="AO5:AO18" si="12">IF(AL5=0," ",AL5/(AM5*T5)*100)</f>
        <v>71.296296296296291</v>
      </c>
    </row>
    <row r="6" spans="1:41" s="10" customFormat="1" ht="20.100000000000001" customHeight="1" x14ac:dyDescent="0.3">
      <c r="A6" s="26" t="s">
        <v>80</v>
      </c>
      <c r="B6" s="70">
        <v>28</v>
      </c>
      <c r="C6" s="164"/>
      <c r="D6" s="165"/>
      <c r="E6" s="165">
        <v>27</v>
      </c>
      <c r="F6" s="165">
        <v>22</v>
      </c>
      <c r="G6" s="165"/>
      <c r="H6" s="165">
        <v>35</v>
      </c>
      <c r="I6" s="165">
        <v>35</v>
      </c>
      <c r="J6" s="165"/>
      <c r="K6" s="165"/>
      <c r="L6" s="165"/>
      <c r="M6" s="165"/>
      <c r="N6" s="165"/>
      <c r="O6" s="166"/>
      <c r="P6" s="13">
        <f t="shared" si="2"/>
        <v>119</v>
      </c>
      <c r="Q6" s="11">
        <f t="shared" si="3"/>
        <v>4</v>
      </c>
      <c r="R6" s="11">
        <f t="shared" si="4"/>
        <v>29.75</v>
      </c>
      <c r="S6" s="12">
        <f t="shared" si="5"/>
        <v>106.25</v>
      </c>
      <c r="T6" s="70">
        <v>28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119</v>
      </c>
      <c r="AM6" s="95">
        <f t="shared" si="10"/>
        <v>4</v>
      </c>
      <c r="AN6" s="11">
        <f t="shared" si="11"/>
        <v>29.75</v>
      </c>
      <c r="AO6" s="12">
        <f t="shared" si="12"/>
        <v>106.25</v>
      </c>
    </row>
    <row r="7" spans="1:41" s="10" customFormat="1" ht="20.100000000000001" customHeight="1" x14ac:dyDescent="0.3">
      <c r="A7" s="26" t="s">
        <v>81</v>
      </c>
      <c r="B7" s="70">
        <v>15</v>
      </c>
      <c r="C7" s="164">
        <v>4</v>
      </c>
      <c r="D7" s="165"/>
      <c r="E7" s="165">
        <v>11</v>
      </c>
      <c r="F7" s="165">
        <v>13</v>
      </c>
      <c r="G7" s="165">
        <v>10</v>
      </c>
      <c r="H7" s="165">
        <v>13</v>
      </c>
      <c r="I7" s="165"/>
      <c r="J7" s="165">
        <v>7</v>
      </c>
      <c r="K7" s="165"/>
      <c r="L7" s="165"/>
      <c r="M7" s="165"/>
      <c r="N7" s="165"/>
      <c r="O7" s="166"/>
      <c r="P7" s="13">
        <f t="shared" si="2"/>
        <v>58</v>
      </c>
      <c r="Q7" s="11">
        <f t="shared" si="3"/>
        <v>6</v>
      </c>
      <c r="R7" s="11">
        <f t="shared" si="4"/>
        <v>9.6666666666666661</v>
      </c>
      <c r="S7" s="12">
        <f t="shared" si="5"/>
        <v>64.444444444444443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58</v>
      </c>
      <c r="AM7" s="95">
        <f t="shared" si="10"/>
        <v>6</v>
      </c>
      <c r="AN7" s="11">
        <f t="shared" si="11"/>
        <v>9.6666666666666661</v>
      </c>
      <c r="AO7" s="12">
        <f t="shared" si="12"/>
        <v>64.444444444444443</v>
      </c>
    </row>
    <row r="8" spans="1:41" s="10" customFormat="1" ht="20.100000000000001" customHeight="1" x14ac:dyDescent="0.3">
      <c r="A8" s="26" t="s">
        <v>349</v>
      </c>
      <c r="B8" s="70">
        <v>33</v>
      </c>
      <c r="C8" s="164"/>
      <c r="D8" s="165"/>
      <c r="E8" s="165"/>
      <c r="F8" s="165"/>
      <c r="G8" s="165"/>
      <c r="H8" s="165"/>
      <c r="I8" s="165">
        <v>28</v>
      </c>
      <c r="J8" s="165">
        <v>22</v>
      </c>
      <c r="K8" s="165"/>
      <c r="L8" s="165"/>
      <c r="M8" s="165"/>
      <c r="N8" s="165"/>
      <c r="O8" s="166"/>
      <c r="P8" s="13">
        <f t="shared" si="2"/>
        <v>50</v>
      </c>
      <c r="Q8" s="11">
        <f t="shared" si="3"/>
        <v>2</v>
      </c>
      <c r="R8" s="11">
        <f t="shared" si="4"/>
        <v>25</v>
      </c>
      <c r="S8" s="12">
        <f t="shared" si="5"/>
        <v>75.757575757575751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50</v>
      </c>
      <c r="AM8" s="95">
        <f t="shared" si="10"/>
        <v>2</v>
      </c>
      <c r="AN8" s="11">
        <f t="shared" si="11"/>
        <v>25</v>
      </c>
      <c r="AO8" s="12">
        <f t="shared" si="12"/>
        <v>75.757575757575751</v>
      </c>
    </row>
    <row r="9" spans="1:41" s="10" customFormat="1" ht="20.100000000000001" customHeight="1" x14ac:dyDescent="0.3">
      <c r="A9" s="26" t="s">
        <v>82</v>
      </c>
      <c r="B9" s="70">
        <v>125</v>
      </c>
      <c r="C9" s="164"/>
      <c r="D9" s="165">
        <v>70</v>
      </c>
      <c r="E9" s="165"/>
      <c r="F9" s="165">
        <v>91</v>
      </c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161</v>
      </c>
      <c r="Q9" s="11">
        <f t="shared" si="3"/>
        <v>2</v>
      </c>
      <c r="R9" s="11">
        <f t="shared" si="4"/>
        <v>80.5</v>
      </c>
      <c r="S9" s="12">
        <f t="shared" si="5"/>
        <v>64.400000000000006</v>
      </c>
      <c r="T9" s="70">
        <v>125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161</v>
      </c>
      <c r="AM9" s="95">
        <f t="shared" si="10"/>
        <v>2</v>
      </c>
      <c r="AN9" s="11">
        <f t="shared" si="11"/>
        <v>80.5</v>
      </c>
      <c r="AO9" s="12">
        <f t="shared" si="12"/>
        <v>64.400000000000006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4"/>
      <c r="D10" s="165">
        <v>25</v>
      </c>
      <c r="E10" s="165"/>
      <c r="F10" s="165">
        <v>11</v>
      </c>
      <c r="G10" s="165"/>
      <c r="H10" s="165">
        <v>11</v>
      </c>
      <c r="I10" s="165">
        <v>5</v>
      </c>
      <c r="J10" s="165"/>
      <c r="K10" s="165"/>
      <c r="L10" s="165"/>
      <c r="M10" s="165"/>
      <c r="N10" s="165"/>
      <c r="O10" s="166"/>
      <c r="P10" s="13">
        <f t="shared" si="2"/>
        <v>52</v>
      </c>
      <c r="Q10" s="11">
        <f t="shared" si="3"/>
        <v>4</v>
      </c>
      <c r="R10" s="11">
        <f t="shared" si="4"/>
        <v>13</v>
      </c>
      <c r="S10" s="12">
        <f t="shared" si="5"/>
        <v>86.666666666666671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52</v>
      </c>
      <c r="AM10" s="95">
        <f t="shared" si="10"/>
        <v>4</v>
      </c>
      <c r="AN10" s="11">
        <f t="shared" si="11"/>
        <v>13</v>
      </c>
      <c r="AO10" s="12">
        <f t="shared" si="12"/>
        <v>86.666666666666671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4"/>
      <c r="D11" s="165">
        <v>23</v>
      </c>
      <c r="E11" s="165"/>
      <c r="F11" s="165">
        <v>34</v>
      </c>
      <c r="G11" s="165">
        <v>40</v>
      </c>
      <c r="H11" s="165"/>
      <c r="I11" s="165">
        <v>35</v>
      </c>
      <c r="J11" s="165"/>
      <c r="K11" s="165"/>
      <c r="L11" s="165"/>
      <c r="M11" s="165"/>
      <c r="N11" s="165"/>
      <c r="O11" s="166"/>
      <c r="P11" s="13">
        <f t="shared" si="2"/>
        <v>132</v>
      </c>
      <c r="Q11" s="11">
        <f t="shared" si="3"/>
        <v>4</v>
      </c>
      <c r="R11" s="11">
        <f t="shared" si="4"/>
        <v>33</v>
      </c>
      <c r="S11" s="12">
        <f t="shared" si="5"/>
        <v>91.666666666666657</v>
      </c>
      <c r="T11" s="70">
        <v>36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132</v>
      </c>
      <c r="AM11" s="95">
        <f t="shared" si="10"/>
        <v>4</v>
      </c>
      <c r="AN11" s="11">
        <f t="shared" si="11"/>
        <v>33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4">
        <v>4</v>
      </c>
      <c r="D12" s="165"/>
      <c r="E12" s="165">
        <v>7</v>
      </c>
      <c r="F12" s="165"/>
      <c r="G12" s="165">
        <v>15</v>
      </c>
      <c r="H12" s="165"/>
      <c r="I12" s="165">
        <v>9</v>
      </c>
      <c r="J12" s="165">
        <v>12</v>
      </c>
      <c r="K12" s="165"/>
      <c r="L12" s="165"/>
      <c r="M12" s="165"/>
      <c r="N12" s="165"/>
      <c r="O12" s="166"/>
      <c r="P12" s="13">
        <f t="shared" si="2"/>
        <v>47</v>
      </c>
      <c r="Q12" s="11">
        <f t="shared" si="3"/>
        <v>5</v>
      </c>
      <c r="R12" s="11">
        <f t="shared" si="4"/>
        <v>9.4</v>
      </c>
      <c r="S12" s="12">
        <f t="shared" si="5"/>
        <v>58.75</v>
      </c>
      <c r="T12" s="70">
        <v>16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47</v>
      </c>
      <c r="AM12" s="95">
        <f t="shared" si="10"/>
        <v>5</v>
      </c>
      <c r="AN12" s="11">
        <f t="shared" si="11"/>
        <v>9.4</v>
      </c>
      <c r="AO12" s="12">
        <f t="shared" si="12"/>
        <v>58.75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4">
        <v>13</v>
      </c>
      <c r="D13" s="165"/>
      <c r="E13" s="165">
        <v>25</v>
      </c>
      <c r="F13" s="165"/>
      <c r="G13" s="165">
        <v>16</v>
      </c>
      <c r="H13" s="165">
        <v>13</v>
      </c>
      <c r="I13" s="165"/>
      <c r="J13" s="165"/>
      <c r="K13" s="165"/>
      <c r="L13" s="165"/>
      <c r="M13" s="165"/>
      <c r="N13" s="165"/>
      <c r="O13" s="166"/>
      <c r="P13" s="13">
        <f t="shared" si="2"/>
        <v>67</v>
      </c>
      <c r="Q13" s="11">
        <f t="shared" si="3"/>
        <v>4</v>
      </c>
      <c r="R13" s="11">
        <f t="shared" si="4"/>
        <v>16.75</v>
      </c>
      <c r="S13" s="12">
        <f t="shared" si="5"/>
        <v>104.6875</v>
      </c>
      <c r="T13" s="70">
        <v>16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67</v>
      </c>
      <c r="AM13" s="95">
        <f t="shared" si="10"/>
        <v>4</v>
      </c>
      <c r="AN13" s="11">
        <f t="shared" si="11"/>
        <v>16.75</v>
      </c>
      <c r="AO13" s="12">
        <f t="shared" si="12"/>
        <v>104.6875</v>
      </c>
    </row>
    <row r="14" spans="1:41" s="10" customFormat="1" ht="20.100000000000001" customHeight="1" x14ac:dyDescent="0.3">
      <c r="A14" s="26" t="s">
        <v>344</v>
      </c>
      <c r="B14" s="131">
        <v>15</v>
      </c>
      <c r="C14" s="164">
        <v>22</v>
      </c>
      <c r="D14" s="165">
        <v>10</v>
      </c>
      <c r="E14" s="165">
        <v>9</v>
      </c>
      <c r="F14" s="165"/>
      <c r="G14" s="165">
        <v>10</v>
      </c>
      <c r="H14" s="165">
        <v>9</v>
      </c>
      <c r="I14" s="165"/>
      <c r="J14" s="165">
        <v>14</v>
      </c>
      <c r="K14" s="165"/>
      <c r="L14" s="165"/>
      <c r="M14" s="165"/>
      <c r="N14" s="165"/>
      <c r="O14" s="166"/>
      <c r="P14" s="13">
        <f t="shared" si="2"/>
        <v>74</v>
      </c>
      <c r="Q14" s="11">
        <f t="shared" si="3"/>
        <v>6</v>
      </c>
      <c r="R14" s="11">
        <f t="shared" si="4"/>
        <v>12.333333333333334</v>
      </c>
      <c r="S14" s="12">
        <f t="shared" si="5"/>
        <v>82.222222222222214</v>
      </c>
      <c r="T14" s="131">
        <v>15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74</v>
      </c>
      <c r="AM14" s="95">
        <f t="shared" si="10"/>
        <v>6</v>
      </c>
      <c r="AN14" s="11">
        <f t="shared" si="11"/>
        <v>12.333333333333334</v>
      </c>
      <c r="AO14" s="12">
        <f t="shared" si="12"/>
        <v>82.222222222222214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1001</v>
      </c>
      <c r="Q19" s="19">
        <f>SUM(Q4:Q18)</f>
        <v>48</v>
      </c>
      <c r="R19" s="19">
        <f>P19/Q19</f>
        <v>20.854166666666668</v>
      </c>
      <c r="S19" s="22"/>
      <c r="T19" s="180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1001</v>
      </c>
      <c r="AM19" s="18">
        <f>SUM(AM4:AM18)</f>
        <v>48</v>
      </c>
      <c r="AN19" s="18">
        <f t="shared" ref="AN19" si="16">AL19/AM19</f>
        <v>20.854166666666668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85" zoomScaleNormal="85" workbookViewId="0">
      <selection activeCell="J13" sqref="J13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14" t="s">
        <v>86</v>
      </c>
      <c r="B2" s="299" t="s">
        <v>42</v>
      </c>
      <c r="C2" s="301" t="s">
        <v>87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88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315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340</v>
      </c>
      <c r="B4" s="137">
        <v>15</v>
      </c>
      <c r="C4" s="161">
        <v>16</v>
      </c>
      <c r="D4" s="162"/>
      <c r="E4" s="162">
        <v>6</v>
      </c>
      <c r="F4" s="162"/>
      <c r="G4" s="162">
        <v>14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80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36</v>
      </c>
      <c r="AM4" s="123">
        <f t="shared" ref="AM4" si="2">Q4+AI4</f>
        <v>3</v>
      </c>
      <c r="AN4" s="8">
        <f>IF(AL4=0," ",AL4/AM4)</f>
        <v>12</v>
      </c>
      <c r="AO4" s="94">
        <f>IF(AL4=0," ",AL4/(AM4*T4)*100)</f>
        <v>80</v>
      </c>
    </row>
    <row r="5" spans="1:41" s="10" customFormat="1" ht="20.100000000000001" customHeight="1" x14ac:dyDescent="0.3">
      <c r="A5" s="26" t="s">
        <v>89</v>
      </c>
      <c r="B5" s="70">
        <v>38</v>
      </c>
      <c r="C5" s="164">
        <v>38</v>
      </c>
      <c r="D5" s="165">
        <v>60</v>
      </c>
      <c r="E5" s="165">
        <v>23</v>
      </c>
      <c r="F5" s="165">
        <v>39</v>
      </c>
      <c r="G5" s="165"/>
      <c r="H5" s="165"/>
      <c r="I5" s="165">
        <v>38</v>
      </c>
      <c r="J5" s="165">
        <v>42</v>
      </c>
      <c r="K5" s="165"/>
      <c r="L5" s="165"/>
      <c r="M5" s="165"/>
      <c r="N5" s="165"/>
      <c r="O5" s="166"/>
      <c r="P5" s="13">
        <f t="shared" ref="P5:P18" si="3">SUM(C5:O5)</f>
        <v>240</v>
      </c>
      <c r="Q5" s="11">
        <f t="shared" ref="Q5:Q18" si="4">COUNTIF(C5:O5,"&gt;0")</f>
        <v>6</v>
      </c>
      <c r="R5" s="11">
        <f t="shared" ref="R5:R18" si="5">IF(P5=0," ",P5/Q5)</f>
        <v>40</v>
      </c>
      <c r="S5" s="12">
        <f t="shared" ref="S5:S18" si="6">IF(P5=0," ",P5/(Q5*T5)*100)</f>
        <v>105.26315789473684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240</v>
      </c>
      <c r="AM5" s="95">
        <f t="shared" ref="AM5:AM18" si="11">Q5+AI5</f>
        <v>6</v>
      </c>
      <c r="AN5" s="11">
        <f t="shared" ref="AN5:AN18" si="12">IF(AL5=0," ",AL5/AM5)</f>
        <v>40</v>
      </c>
      <c r="AO5" s="12">
        <f t="shared" ref="AO5:AO18" si="13">IF(AL5=0," ",AL5/(AM5*T5)*100)</f>
        <v>105.26315789473684</v>
      </c>
    </row>
    <row r="6" spans="1:41" s="10" customFormat="1" ht="20.100000000000001" customHeight="1" x14ac:dyDescent="0.3">
      <c r="A6" s="69" t="s">
        <v>309</v>
      </c>
      <c r="B6" s="70">
        <v>32</v>
      </c>
      <c r="C6" s="164"/>
      <c r="D6" s="165"/>
      <c r="E6" s="165"/>
      <c r="F6" s="165">
        <v>21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3"/>
        <v>21</v>
      </c>
      <c r="Q6" s="11">
        <f t="shared" si="4"/>
        <v>1</v>
      </c>
      <c r="R6" s="11">
        <f t="shared" si="5"/>
        <v>21</v>
      </c>
      <c r="S6" s="12">
        <f t="shared" si="6"/>
        <v>65.625</v>
      </c>
      <c r="T6" s="70">
        <v>32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21</v>
      </c>
      <c r="AM6" s="95">
        <f t="shared" si="11"/>
        <v>1</v>
      </c>
      <c r="AN6" s="11">
        <f t="shared" si="12"/>
        <v>21</v>
      </c>
      <c r="AO6" s="12">
        <f t="shared" si="13"/>
        <v>65.625</v>
      </c>
    </row>
    <row r="7" spans="1:41" s="10" customFormat="1" ht="20.100000000000001" customHeight="1" x14ac:dyDescent="0.3">
      <c r="A7" s="26" t="s">
        <v>90</v>
      </c>
      <c r="B7" s="70">
        <v>34</v>
      </c>
      <c r="C7" s="164"/>
      <c r="D7" s="165">
        <v>35</v>
      </c>
      <c r="E7" s="165">
        <v>28</v>
      </c>
      <c r="F7" s="165">
        <v>35</v>
      </c>
      <c r="G7" s="165"/>
      <c r="H7" s="165">
        <v>29</v>
      </c>
      <c r="I7" s="165"/>
      <c r="J7" s="165">
        <v>39</v>
      </c>
      <c r="K7" s="165"/>
      <c r="L7" s="165"/>
      <c r="M7" s="165"/>
      <c r="N7" s="165"/>
      <c r="O7" s="166"/>
      <c r="P7" s="13">
        <f t="shared" si="3"/>
        <v>166</v>
      </c>
      <c r="Q7" s="11">
        <f t="shared" si="4"/>
        <v>5</v>
      </c>
      <c r="R7" s="11">
        <f t="shared" si="5"/>
        <v>33.200000000000003</v>
      </c>
      <c r="S7" s="12">
        <f t="shared" si="6"/>
        <v>97.647058823529406</v>
      </c>
      <c r="T7" s="70">
        <v>34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166</v>
      </c>
      <c r="AM7" s="95">
        <f t="shared" si="11"/>
        <v>5</v>
      </c>
      <c r="AN7" s="11">
        <f t="shared" si="12"/>
        <v>33.200000000000003</v>
      </c>
      <c r="AO7" s="12">
        <f t="shared" si="13"/>
        <v>97.647058823529406</v>
      </c>
    </row>
    <row r="8" spans="1:41" s="10" customFormat="1" ht="20.100000000000001" customHeight="1" x14ac:dyDescent="0.3">
      <c r="A8" s="26" t="s">
        <v>91</v>
      </c>
      <c r="B8" s="70">
        <v>80</v>
      </c>
      <c r="C8" s="164"/>
      <c r="D8" s="165"/>
      <c r="E8" s="165">
        <v>58</v>
      </c>
      <c r="F8" s="165"/>
      <c r="G8" s="165">
        <v>68</v>
      </c>
      <c r="H8" s="165"/>
      <c r="I8" s="165">
        <v>75</v>
      </c>
      <c r="J8" s="165"/>
      <c r="K8" s="165"/>
      <c r="L8" s="165"/>
      <c r="M8" s="165"/>
      <c r="N8" s="165"/>
      <c r="O8" s="166"/>
      <c r="P8" s="13">
        <f t="shared" si="3"/>
        <v>201</v>
      </c>
      <c r="Q8" s="11">
        <f t="shared" si="4"/>
        <v>3</v>
      </c>
      <c r="R8" s="11">
        <f t="shared" si="5"/>
        <v>67</v>
      </c>
      <c r="S8" s="12">
        <f t="shared" si="6"/>
        <v>83.75</v>
      </c>
      <c r="T8" s="70">
        <v>80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201</v>
      </c>
      <c r="AM8" s="95">
        <f t="shared" si="11"/>
        <v>3</v>
      </c>
      <c r="AN8" s="11">
        <f t="shared" si="12"/>
        <v>67</v>
      </c>
      <c r="AO8" s="12">
        <f t="shared" si="13"/>
        <v>83.75</v>
      </c>
    </row>
    <row r="9" spans="1:41" s="10" customFormat="1" ht="20.100000000000001" customHeight="1" x14ac:dyDescent="0.3">
      <c r="A9" s="26" t="s">
        <v>92</v>
      </c>
      <c r="B9" s="70">
        <v>27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4"/>
      <c r="D10" s="165">
        <v>38</v>
      </c>
      <c r="E10" s="165"/>
      <c r="F10" s="165"/>
      <c r="G10" s="165"/>
      <c r="H10" s="165"/>
      <c r="I10" s="165"/>
      <c r="J10" s="165">
        <v>32</v>
      </c>
      <c r="K10" s="165"/>
      <c r="L10" s="165"/>
      <c r="M10" s="165"/>
      <c r="N10" s="165"/>
      <c r="O10" s="166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4">
        <v>23</v>
      </c>
      <c r="D11" s="165"/>
      <c r="E11" s="165">
        <v>13</v>
      </c>
      <c r="F11" s="165"/>
      <c r="G11" s="165">
        <v>18</v>
      </c>
      <c r="H11" s="165"/>
      <c r="I11" s="165">
        <v>37</v>
      </c>
      <c r="J11" s="165">
        <v>34</v>
      </c>
      <c r="K11" s="165"/>
      <c r="L11" s="165"/>
      <c r="M11" s="165"/>
      <c r="N11" s="165"/>
      <c r="O11" s="166"/>
      <c r="P11" s="13">
        <f t="shared" si="3"/>
        <v>125</v>
      </c>
      <c r="Q11" s="11">
        <f t="shared" si="4"/>
        <v>5</v>
      </c>
      <c r="R11" s="11">
        <f t="shared" si="5"/>
        <v>25</v>
      </c>
      <c r="S11" s="12">
        <f t="shared" si="6"/>
        <v>113.63636363636364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125</v>
      </c>
      <c r="AM11" s="95">
        <f t="shared" si="11"/>
        <v>5</v>
      </c>
      <c r="AN11" s="11">
        <f t="shared" si="12"/>
        <v>25</v>
      </c>
      <c r="AO11" s="12">
        <f t="shared" si="13"/>
        <v>113.63636363636364</v>
      </c>
    </row>
    <row r="12" spans="1:41" s="10" customFormat="1" ht="20.100000000000001" customHeight="1" x14ac:dyDescent="0.3">
      <c r="A12" s="26" t="s">
        <v>287</v>
      </c>
      <c r="B12" s="131">
        <v>20</v>
      </c>
      <c r="C12" s="164">
        <v>20</v>
      </c>
      <c r="D12" s="165"/>
      <c r="E12" s="165"/>
      <c r="F12" s="165"/>
      <c r="G12" s="165"/>
      <c r="H12" s="165">
        <v>24</v>
      </c>
      <c r="I12" s="165"/>
      <c r="J12" s="165"/>
      <c r="K12" s="165"/>
      <c r="L12" s="165"/>
      <c r="M12" s="165"/>
      <c r="N12" s="165"/>
      <c r="O12" s="166"/>
      <c r="P12" s="13">
        <f t="shared" si="3"/>
        <v>44</v>
      </c>
      <c r="Q12" s="11">
        <f t="shared" si="4"/>
        <v>2</v>
      </c>
      <c r="R12" s="11">
        <f t="shared" si="5"/>
        <v>22</v>
      </c>
      <c r="S12" s="12">
        <f t="shared" si="6"/>
        <v>110.00000000000001</v>
      </c>
      <c r="T12" s="131">
        <v>20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44</v>
      </c>
      <c r="AM12" s="95">
        <f t="shared" si="11"/>
        <v>2</v>
      </c>
      <c r="AN12" s="11">
        <f t="shared" si="12"/>
        <v>22</v>
      </c>
      <c r="AO12" s="12">
        <f t="shared" si="13"/>
        <v>110.00000000000001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4">
        <v>25</v>
      </c>
      <c r="D13" s="165"/>
      <c r="E13" s="165">
        <v>35</v>
      </c>
      <c r="F13" s="165"/>
      <c r="G13" s="165">
        <v>29</v>
      </c>
      <c r="H13" s="165">
        <v>66</v>
      </c>
      <c r="I13" s="165">
        <v>37</v>
      </c>
      <c r="J13" s="165"/>
      <c r="K13" s="165"/>
      <c r="L13" s="165"/>
      <c r="M13" s="165"/>
      <c r="N13" s="165"/>
      <c r="O13" s="166"/>
      <c r="P13" s="13">
        <f t="shared" si="3"/>
        <v>192</v>
      </c>
      <c r="Q13" s="11">
        <f t="shared" si="4"/>
        <v>5</v>
      </c>
      <c r="R13" s="11">
        <f t="shared" si="5"/>
        <v>38.4</v>
      </c>
      <c r="S13" s="12">
        <f t="shared" si="6"/>
        <v>116.36363636363636</v>
      </c>
      <c r="T13" s="70">
        <v>33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192</v>
      </c>
      <c r="AM13" s="95">
        <f t="shared" si="11"/>
        <v>5</v>
      </c>
      <c r="AN13" s="11">
        <f t="shared" si="12"/>
        <v>38.4</v>
      </c>
      <c r="AO13" s="12">
        <f t="shared" si="13"/>
        <v>116.36363636363636</v>
      </c>
    </row>
    <row r="14" spans="1:41" s="10" customFormat="1" ht="20.100000000000001" customHeight="1" x14ac:dyDescent="0.3">
      <c r="A14" s="26" t="s">
        <v>319</v>
      </c>
      <c r="B14" s="70">
        <v>39</v>
      </c>
      <c r="C14" s="164">
        <v>27</v>
      </c>
      <c r="D14" s="165">
        <v>44</v>
      </c>
      <c r="E14" s="165"/>
      <c r="F14" s="165">
        <v>27</v>
      </c>
      <c r="G14" s="165"/>
      <c r="H14" s="165">
        <v>43</v>
      </c>
      <c r="I14" s="165">
        <v>37</v>
      </c>
      <c r="J14" s="165">
        <v>29</v>
      </c>
      <c r="K14" s="165"/>
      <c r="L14" s="165"/>
      <c r="M14" s="165"/>
      <c r="N14" s="165"/>
      <c r="O14" s="166"/>
      <c r="P14" s="13">
        <f t="shared" si="3"/>
        <v>207</v>
      </c>
      <c r="Q14" s="11">
        <f t="shared" si="4"/>
        <v>6</v>
      </c>
      <c r="R14" s="11">
        <f t="shared" si="5"/>
        <v>34.5</v>
      </c>
      <c r="S14" s="12">
        <f t="shared" si="6"/>
        <v>88.461538461538453</v>
      </c>
      <c r="T14" s="70">
        <v>39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207</v>
      </c>
      <c r="AM14" s="95">
        <f t="shared" si="11"/>
        <v>6</v>
      </c>
      <c r="AN14" s="11">
        <f t="shared" si="12"/>
        <v>34.5</v>
      </c>
      <c r="AO14" s="12">
        <f t="shared" si="13"/>
        <v>88.461538461538453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4"/>
      <c r="D15" s="165">
        <v>60</v>
      </c>
      <c r="E15" s="165"/>
      <c r="F15" s="165">
        <v>66</v>
      </c>
      <c r="G15" s="165">
        <v>52</v>
      </c>
      <c r="H15" s="165">
        <v>62</v>
      </c>
      <c r="I15" s="165"/>
      <c r="J15" s="165"/>
      <c r="K15" s="165"/>
      <c r="L15" s="165"/>
      <c r="M15" s="165"/>
      <c r="N15" s="165"/>
      <c r="O15" s="166"/>
      <c r="P15" s="13">
        <f t="shared" ref="P15:P17" si="14">SUM(C15:O15)</f>
        <v>240</v>
      </c>
      <c r="Q15" s="11">
        <f t="shared" ref="Q15:Q17" si="15">COUNTIF(C15:O15,"&gt;0")</f>
        <v>4</v>
      </c>
      <c r="R15" s="11">
        <f t="shared" ref="R15:R17" si="16">IF(P15=0," ",P15/Q15)</f>
        <v>60</v>
      </c>
      <c r="S15" s="12">
        <f t="shared" ref="S15:S17" si="17">IF(P15=0," ",P15/(Q15*T15)*100)</f>
        <v>101.69491525423729</v>
      </c>
      <c r="T15" s="70">
        <v>59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240</v>
      </c>
      <c r="AM15" s="95">
        <f t="shared" si="11"/>
        <v>4</v>
      </c>
      <c r="AN15" s="11">
        <f t="shared" si="12"/>
        <v>60</v>
      </c>
      <c r="AO15" s="12">
        <f t="shared" si="13"/>
        <v>101.69491525423729</v>
      </c>
    </row>
    <row r="16" spans="1:41" s="10" customFormat="1" ht="20.100000000000001" customHeight="1" x14ac:dyDescent="0.3">
      <c r="A16" s="26" t="s">
        <v>360</v>
      </c>
      <c r="B16" s="70">
        <v>32</v>
      </c>
      <c r="C16" s="164"/>
      <c r="D16" s="165">
        <v>40</v>
      </c>
      <c r="E16" s="165"/>
      <c r="F16" s="165">
        <v>23</v>
      </c>
      <c r="G16" s="165">
        <v>39</v>
      </c>
      <c r="H16" s="165">
        <v>36</v>
      </c>
      <c r="I16" s="165">
        <v>29</v>
      </c>
      <c r="J16" s="165">
        <v>38</v>
      </c>
      <c r="K16" s="165"/>
      <c r="L16" s="165"/>
      <c r="M16" s="165"/>
      <c r="N16" s="165"/>
      <c r="O16" s="166"/>
      <c r="P16" s="13">
        <f t="shared" si="14"/>
        <v>205</v>
      </c>
      <c r="Q16" s="11">
        <f t="shared" si="15"/>
        <v>6</v>
      </c>
      <c r="R16" s="11">
        <f t="shared" si="16"/>
        <v>34.166666666666664</v>
      </c>
      <c r="S16" s="12">
        <f t="shared" si="17"/>
        <v>106.77083333333333</v>
      </c>
      <c r="T16" s="70">
        <v>32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205</v>
      </c>
      <c r="AM16" s="95">
        <f t="shared" si="11"/>
        <v>6</v>
      </c>
      <c r="AN16" s="11">
        <f t="shared" si="12"/>
        <v>34.166666666666664</v>
      </c>
      <c r="AO16" s="12">
        <f t="shared" si="13"/>
        <v>106.77083333333333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1">
        <f>SUM(T4:T17)</f>
        <v>460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0</v>
      </c>
      <c r="L19" s="19">
        <f t="shared" si="19"/>
        <v>0</v>
      </c>
      <c r="M19" s="19">
        <f t="shared" si="19"/>
        <v>0</v>
      </c>
      <c r="N19" s="19">
        <f t="shared" si="19"/>
        <v>0</v>
      </c>
      <c r="O19" s="19">
        <f>SUM(O4:O18)</f>
        <v>0</v>
      </c>
      <c r="P19" s="19">
        <f>SUM(P4:P18)</f>
        <v>1747</v>
      </c>
      <c r="Q19" s="19">
        <f>SUM(Q4:Q18)</f>
        <v>48</v>
      </c>
      <c r="R19" s="19">
        <f>P19/Q19</f>
        <v>36.395833333333336</v>
      </c>
      <c r="S19" s="22"/>
      <c r="T19" s="180">
        <f>SUM(T4:T18)</f>
        <v>460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1747</v>
      </c>
      <c r="AM19" s="18">
        <f>SUM(AM4:AM18)</f>
        <v>48</v>
      </c>
      <c r="AN19" s="18">
        <f t="shared" ref="AN19" si="21">AL19/AM19</f>
        <v>36.395833333333336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J8" sqref="J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14" t="s">
        <v>97</v>
      </c>
      <c r="B2" s="299" t="s">
        <v>42</v>
      </c>
      <c r="C2" s="301" t="s">
        <v>98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99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315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100</v>
      </c>
      <c r="B4" s="137">
        <v>20</v>
      </c>
      <c r="C4" s="161"/>
      <c r="D4" s="162">
        <v>21</v>
      </c>
      <c r="E4" s="162">
        <v>26</v>
      </c>
      <c r="F4" s="162">
        <v>46</v>
      </c>
      <c r="G4" s="162"/>
      <c r="H4" s="162"/>
      <c r="I4" s="162">
        <v>31</v>
      </c>
      <c r="J4" s="162">
        <v>22</v>
      </c>
      <c r="K4" s="162"/>
      <c r="L4" s="162"/>
      <c r="M4" s="162"/>
      <c r="N4" s="162"/>
      <c r="O4" s="163"/>
      <c r="P4" s="9">
        <f>SUM(C4:O4)</f>
        <v>146</v>
      </c>
      <c r="Q4" s="8">
        <f>COUNTIF(C4:O4,"&gt;0")</f>
        <v>5</v>
      </c>
      <c r="R4" s="8">
        <f>IF(P4=0," ",P4/Q4)</f>
        <v>29.2</v>
      </c>
      <c r="S4" s="94">
        <f>IF(P4=0," ",P4/(Q4*B4)*100)</f>
        <v>146</v>
      </c>
      <c r="T4" s="70">
        <v>20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146</v>
      </c>
      <c r="AM4" s="123">
        <f t="shared" ref="AM4" si="1">Q4+AI4</f>
        <v>5</v>
      </c>
      <c r="AN4" s="8">
        <f>IF(AL4=0," ",AL4/AM4)</f>
        <v>29.2</v>
      </c>
      <c r="AO4" s="94">
        <f>IF(AL4=0," ",AL4/(AM4*T4)*100)</f>
        <v>146</v>
      </c>
    </row>
    <row r="5" spans="1:41" s="10" customFormat="1" ht="20.100000000000001" customHeight="1" x14ac:dyDescent="0.3">
      <c r="A5" s="26" t="s">
        <v>101</v>
      </c>
      <c r="B5" s="70">
        <v>41</v>
      </c>
      <c r="C5" s="164"/>
      <c r="D5" s="165">
        <v>43</v>
      </c>
      <c r="E5" s="165"/>
      <c r="F5" s="165"/>
      <c r="G5" s="165">
        <v>42</v>
      </c>
      <c r="H5" s="165">
        <v>41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126</v>
      </c>
      <c r="Q5" s="11">
        <f t="shared" ref="Q5:Q18" si="3">COUNTIF(C5:O5,"&gt;0")</f>
        <v>3</v>
      </c>
      <c r="R5" s="11">
        <f t="shared" ref="R5:R18" si="4">IF(P5=0," ",P5/Q5)</f>
        <v>42</v>
      </c>
      <c r="S5" s="12">
        <f t="shared" ref="S5:S18" si="5">IF(P5=0," ",P5/(Q5*B5)*100)</f>
        <v>102.4390243902439</v>
      </c>
      <c r="T5" s="70">
        <v>41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126</v>
      </c>
      <c r="AM5" s="95">
        <f t="shared" ref="AM5:AM18" si="10">Q5+AI5</f>
        <v>3</v>
      </c>
      <c r="AN5" s="11">
        <f t="shared" ref="AN5:AN18" si="11">IF(AL5=0," ",AL5/AM5)</f>
        <v>42</v>
      </c>
      <c r="AO5" s="12">
        <f t="shared" ref="AO5:AO18" si="12">IF(AL5=0," ",AL5/(AM5*T5)*100)</f>
        <v>102.4390243902439</v>
      </c>
    </row>
    <row r="6" spans="1:41" s="10" customFormat="1" ht="20.100000000000001" customHeight="1" x14ac:dyDescent="0.3">
      <c r="A6" s="26" t="s">
        <v>102</v>
      </c>
      <c r="B6" s="70">
        <v>38</v>
      </c>
      <c r="C6" s="164"/>
      <c r="D6" s="165"/>
      <c r="E6" s="165"/>
      <c r="F6" s="165">
        <v>39</v>
      </c>
      <c r="G6" s="165"/>
      <c r="H6" s="165"/>
      <c r="I6" s="165"/>
      <c r="J6" s="165">
        <v>40</v>
      </c>
      <c r="K6" s="165"/>
      <c r="L6" s="165"/>
      <c r="M6" s="165"/>
      <c r="N6" s="165"/>
      <c r="O6" s="166"/>
      <c r="P6" s="13">
        <f t="shared" si="2"/>
        <v>79</v>
      </c>
      <c r="Q6" s="11">
        <f t="shared" si="3"/>
        <v>2</v>
      </c>
      <c r="R6" s="11">
        <f t="shared" si="4"/>
        <v>39.5</v>
      </c>
      <c r="S6" s="12">
        <f t="shared" si="5"/>
        <v>103.94736842105263</v>
      </c>
      <c r="T6" s="70">
        <v>38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79</v>
      </c>
      <c r="AM6" s="95">
        <f t="shared" si="10"/>
        <v>2</v>
      </c>
      <c r="AN6" s="11">
        <f t="shared" si="11"/>
        <v>39.5</v>
      </c>
      <c r="AO6" s="12">
        <f t="shared" si="12"/>
        <v>103.94736842105263</v>
      </c>
    </row>
    <row r="7" spans="1:41" s="10" customFormat="1" ht="20.100000000000001" customHeight="1" x14ac:dyDescent="0.3">
      <c r="A7" s="26" t="s">
        <v>103</v>
      </c>
      <c r="B7" s="70">
        <v>25</v>
      </c>
      <c r="C7" s="164">
        <v>19</v>
      </c>
      <c r="D7" s="165"/>
      <c r="E7" s="165">
        <v>24</v>
      </c>
      <c r="F7" s="165">
        <v>34</v>
      </c>
      <c r="G7" s="165">
        <v>26</v>
      </c>
      <c r="H7" s="165">
        <v>20</v>
      </c>
      <c r="I7" s="165">
        <v>39</v>
      </c>
      <c r="J7" s="165">
        <v>35</v>
      </c>
      <c r="K7" s="165"/>
      <c r="L7" s="165"/>
      <c r="M7" s="165"/>
      <c r="N7" s="165"/>
      <c r="O7" s="166"/>
      <c r="P7" s="13">
        <f t="shared" si="2"/>
        <v>197</v>
      </c>
      <c r="Q7" s="11">
        <f t="shared" si="3"/>
        <v>7</v>
      </c>
      <c r="R7" s="11">
        <f t="shared" si="4"/>
        <v>28.142857142857142</v>
      </c>
      <c r="S7" s="12">
        <f t="shared" si="5"/>
        <v>112.57142857142857</v>
      </c>
      <c r="T7" s="70">
        <v>25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197</v>
      </c>
      <c r="AM7" s="95">
        <f t="shared" si="10"/>
        <v>7</v>
      </c>
      <c r="AN7" s="11">
        <f t="shared" si="11"/>
        <v>28.142857142857142</v>
      </c>
      <c r="AO7" s="12">
        <f t="shared" si="12"/>
        <v>112.57142857142857</v>
      </c>
    </row>
    <row r="8" spans="1:41" s="10" customFormat="1" ht="20.100000000000001" customHeight="1" x14ac:dyDescent="0.3">
      <c r="A8" s="26" t="s">
        <v>104</v>
      </c>
      <c r="B8" s="70">
        <v>15</v>
      </c>
      <c r="C8" s="164">
        <v>16</v>
      </c>
      <c r="D8" s="165">
        <v>1E-4</v>
      </c>
      <c r="E8" s="165">
        <v>6</v>
      </c>
      <c r="F8" s="165"/>
      <c r="G8" s="165"/>
      <c r="H8" s="165">
        <v>7</v>
      </c>
      <c r="I8" s="165">
        <v>9</v>
      </c>
      <c r="J8" s="165">
        <v>15</v>
      </c>
      <c r="K8" s="165"/>
      <c r="L8" s="165"/>
      <c r="M8" s="165"/>
      <c r="N8" s="165"/>
      <c r="O8" s="166"/>
      <c r="P8" s="13">
        <f t="shared" si="2"/>
        <v>53.000100000000003</v>
      </c>
      <c r="Q8" s="11">
        <f t="shared" si="3"/>
        <v>6</v>
      </c>
      <c r="R8" s="11">
        <f t="shared" si="4"/>
        <v>8.8333500000000011</v>
      </c>
      <c r="S8" s="12">
        <f t="shared" si="5"/>
        <v>58.889000000000003</v>
      </c>
      <c r="T8" s="70">
        <v>15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53.000100000000003</v>
      </c>
      <c r="AM8" s="95">
        <f t="shared" si="10"/>
        <v>6</v>
      </c>
      <c r="AN8" s="11">
        <f t="shared" si="11"/>
        <v>8.8333500000000011</v>
      </c>
      <c r="AO8" s="12">
        <f t="shared" si="12"/>
        <v>58.889000000000003</v>
      </c>
    </row>
    <row r="9" spans="1:41" s="10" customFormat="1" ht="20.100000000000001" customHeight="1" x14ac:dyDescent="0.3">
      <c r="A9" s="69" t="s">
        <v>105</v>
      </c>
      <c r="B9" s="70">
        <v>39</v>
      </c>
      <c r="C9" s="164">
        <v>38</v>
      </c>
      <c r="D9" s="165"/>
      <c r="E9" s="165">
        <v>38</v>
      </c>
      <c r="F9" s="165"/>
      <c r="G9" s="165">
        <v>33</v>
      </c>
      <c r="H9" s="165">
        <v>46</v>
      </c>
      <c r="I9" s="165">
        <v>25</v>
      </c>
      <c r="J9" s="165"/>
      <c r="K9" s="165"/>
      <c r="L9" s="165"/>
      <c r="M9" s="165"/>
      <c r="N9" s="165"/>
      <c r="O9" s="166"/>
      <c r="P9" s="13">
        <f t="shared" si="2"/>
        <v>180</v>
      </c>
      <c r="Q9" s="11">
        <f t="shared" si="3"/>
        <v>5</v>
      </c>
      <c r="R9" s="11">
        <f t="shared" si="4"/>
        <v>36</v>
      </c>
      <c r="S9" s="12">
        <f t="shared" si="5"/>
        <v>92.307692307692307</v>
      </c>
      <c r="T9" s="70">
        <v>39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180</v>
      </c>
      <c r="AM9" s="95">
        <f t="shared" si="10"/>
        <v>5</v>
      </c>
      <c r="AN9" s="11">
        <f t="shared" si="11"/>
        <v>36</v>
      </c>
      <c r="AO9" s="12">
        <f t="shared" si="12"/>
        <v>92.307692307692307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4"/>
      <c r="D10" s="165"/>
      <c r="E10" s="165"/>
      <c r="F10" s="165">
        <v>27</v>
      </c>
      <c r="G10" s="165">
        <v>16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43</v>
      </c>
      <c r="Q10" s="11">
        <f t="shared" si="3"/>
        <v>2</v>
      </c>
      <c r="R10" s="11">
        <f t="shared" si="4"/>
        <v>21.5</v>
      </c>
      <c r="S10" s="12">
        <f t="shared" si="5"/>
        <v>93.478260869565219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43</v>
      </c>
      <c r="AM10" s="95">
        <f t="shared" si="10"/>
        <v>2</v>
      </c>
      <c r="AN10" s="11">
        <f t="shared" si="11"/>
        <v>21.5</v>
      </c>
      <c r="AO10" s="12">
        <f t="shared" si="12"/>
        <v>93.478260869565219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4">
        <v>65</v>
      </c>
      <c r="D11" s="165">
        <v>82</v>
      </c>
      <c r="E11" s="165"/>
      <c r="F11" s="165"/>
      <c r="G11" s="165"/>
      <c r="H11" s="165">
        <v>73</v>
      </c>
      <c r="I11" s="165">
        <v>76</v>
      </c>
      <c r="J11" s="165"/>
      <c r="K11" s="165"/>
      <c r="L11" s="165"/>
      <c r="M11" s="165"/>
      <c r="N11" s="165"/>
      <c r="O11" s="166"/>
      <c r="P11" s="13">
        <f t="shared" si="2"/>
        <v>296</v>
      </c>
      <c r="Q11" s="11">
        <f t="shared" si="3"/>
        <v>4</v>
      </c>
      <c r="R11" s="11">
        <f t="shared" si="4"/>
        <v>74</v>
      </c>
      <c r="S11" s="12">
        <f t="shared" si="5"/>
        <v>115.625</v>
      </c>
      <c r="T11" s="70">
        <v>64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296</v>
      </c>
      <c r="AM11" s="95">
        <f t="shared" si="10"/>
        <v>4</v>
      </c>
      <c r="AN11" s="11">
        <f t="shared" si="11"/>
        <v>74</v>
      </c>
      <c r="AO11" s="12">
        <f t="shared" si="12"/>
        <v>115.625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4">
        <v>33</v>
      </c>
      <c r="D12" s="165">
        <v>49</v>
      </c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310</v>
      </c>
      <c r="B13" s="70">
        <v>27</v>
      </c>
      <c r="C13" s="164"/>
      <c r="D13" s="165"/>
      <c r="E13" s="165">
        <v>27</v>
      </c>
      <c r="F13" s="165">
        <v>21</v>
      </c>
      <c r="G13" s="165">
        <v>23</v>
      </c>
      <c r="H13" s="165"/>
      <c r="I13" s="165"/>
      <c r="J13" s="165">
        <v>18</v>
      </c>
      <c r="K13" s="165"/>
      <c r="L13" s="165"/>
      <c r="M13" s="165"/>
      <c r="N13" s="165"/>
      <c r="O13" s="166"/>
      <c r="P13" s="13">
        <f t="shared" si="2"/>
        <v>89</v>
      </c>
      <c r="Q13" s="11">
        <f t="shared" si="3"/>
        <v>4</v>
      </c>
      <c r="R13" s="11">
        <f t="shared" si="4"/>
        <v>22.25</v>
      </c>
      <c r="S13" s="12">
        <f t="shared" si="5"/>
        <v>82.407407407407405</v>
      </c>
      <c r="T13" s="70">
        <v>27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89</v>
      </c>
      <c r="AM13" s="95">
        <f t="shared" si="10"/>
        <v>4</v>
      </c>
      <c r="AN13" s="11">
        <f t="shared" si="11"/>
        <v>22.25</v>
      </c>
      <c r="AO13" s="12">
        <f t="shared" si="12"/>
        <v>82.407407407407405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4"/>
      <c r="D14" s="165"/>
      <c r="E14" s="165">
        <v>36</v>
      </c>
      <c r="F14" s="165">
        <v>25</v>
      </c>
      <c r="G14" s="165"/>
      <c r="H14" s="165"/>
      <c r="I14" s="165">
        <v>23</v>
      </c>
      <c r="J14" s="165"/>
      <c r="K14" s="165"/>
      <c r="L14" s="165"/>
      <c r="M14" s="165"/>
      <c r="N14" s="165"/>
      <c r="O14" s="166"/>
      <c r="P14" s="13">
        <f t="shared" si="2"/>
        <v>84</v>
      </c>
      <c r="Q14" s="11">
        <f t="shared" si="3"/>
        <v>3</v>
      </c>
      <c r="R14" s="11">
        <f t="shared" si="4"/>
        <v>28</v>
      </c>
      <c r="S14" s="12">
        <f t="shared" si="5"/>
        <v>93.333333333333329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84</v>
      </c>
      <c r="AM14" s="95">
        <f t="shared" si="10"/>
        <v>3</v>
      </c>
      <c r="AN14" s="11">
        <f t="shared" si="11"/>
        <v>28</v>
      </c>
      <c r="AO14" s="12">
        <f t="shared" si="12"/>
        <v>93.333333333333329</v>
      </c>
    </row>
    <row r="15" spans="1:41" s="10" customFormat="1" ht="20.100000000000001" customHeight="1" x14ac:dyDescent="0.3">
      <c r="A15" s="26" t="s">
        <v>311</v>
      </c>
      <c r="B15" s="70">
        <v>16</v>
      </c>
      <c r="C15" s="164">
        <v>20</v>
      </c>
      <c r="D15" s="165">
        <v>17</v>
      </c>
      <c r="E15" s="165"/>
      <c r="F15" s="165"/>
      <c r="G15" s="165">
        <v>14</v>
      </c>
      <c r="H15" s="165">
        <v>19</v>
      </c>
      <c r="I15" s="165"/>
      <c r="J15" s="165">
        <v>17</v>
      </c>
      <c r="K15" s="165"/>
      <c r="L15" s="165"/>
      <c r="M15" s="165"/>
      <c r="N15" s="165"/>
      <c r="O15" s="166"/>
      <c r="P15" s="13">
        <f t="shared" si="2"/>
        <v>87</v>
      </c>
      <c r="Q15" s="11">
        <f t="shared" si="3"/>
        <v>5</v>
      </c>
      <c r="R15" s="11">
        <f t="shared" si="4"/>
        <v>17.399999999999999</v>
      </c>
      <c r="S15" s="12">
        <f t="shared" si="5"/>
        <v>108.74999999999999</v>
      </c>
      <c r="T15" s="70">
        <v>16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87</v>
      </c>
      <c r="AM15" s="95">
        <f t="shared" si="10"/>
        <v>5</v>
      </c>
      <c r="AN15" s="11">
        <f t="shared" si="11"/>
        <v>17.399999999999999</v>
      </c>
      <c r="AO15" s="12">
        <f t="shared" si="12"/>
        <v>108.74999999999999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1462.0001</v>
      </c>
      <c r="Q19" s="19">
        <f t="shared" si="14"/>
        <v>48</v>
      </c>
      <c r="R19" s="19">
        <f>P19/Q19</f>
        <v>30.458335416666667</v>
      </c>
      <c r="S19" s="22"/>
      <c r="T19" s="180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1462.0001</v>
      </c>
      <c r="AM19" s="18">
        <f>SUM(AM4:AM18)</f>
        <v>48</v>
      </c>
      <c r="AN19" s="18">
        <f t="shared" ref="AN19" si="17">AL19/AM19</f>
        <v>30.458335416666667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zoomScale="85" zoomScaleNormal="85" workbookViewId="0">
      <selection activeCell="J11" sqref="J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26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110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312</v>
      </c>
      <c r="B4" s="137">
        <v>38</v>
      </c>
      <c r="C4" s="161"/>
      <c r="D4" s="162">
        <v>29</v>
      </c>
      <c r="E4" s="162"/>
      <c r="F4" s="162"/>
      <c r="G4" s="162"/>
      <c r="H4" s="162">
        <v>46</v>
      </c>
      <c r="I4" s="162">
        <v>34</v>
      </c>
      <c r="J4" s="162"/>
      <c r="K4" s="162"/>
      <c r="L4" s="162"/>
      <c r="M4" s="162"/>
      <c r="N4" s="162"/>
      <c r="O4" s="163"/>
      <c r="P4" s="9">
        <f>SUM(C4:O4)</f>
        <v>109</v>
      </c>
      <c r="Q4" s="8">
        <f>COUNTIF(C4:O4,"&gt;0")</f>
        <v>3</v>
      </c>
      <c r="R4" s="8">
        <f>IF(P4=0," ",P4/Q4)</f>
        <v>36.333333333333336</v>
      </c>
      <c r="S4" s="94">
        <f>IF(P4=0," ",P4/(Q4*B4)*100)</f>
        <v>95.614035087719301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109</v>
      </c>
      <c r="AM4" s="123">
        <f t="shared" ref="AM4" si="1">Q4+AI4</f>
        <v>3</v>
      </c>
      <c r="AN4" s="8">
        <f>IF(AL4=0," ",AL4/AM4)</f>
        <v>36.333333333333336</v>
      </c>
      <c r="AO4" s="94">
        <f t="shared" ref="AO4" si="2">IF(AL4=0," ",AL4/(AM4*T4)*100)</f>
        <v>95.614035087719301</v>
      </c>
    </row>
    <row r="5" spans="1:41" s="10" customFormat="1" ht="20.100000000000001" customHeight="1" x14ac:dyDescent="0.3">
      <c r="A5" s="26" t="s">
        <v>320</v>
      </c>
      <c r="B5" s="70">
        <v>58</v>
      </c>
      <c r="C5" s="164">
        <v>58</v>
      </c>
      <c r="D5" s="165">
        <v>40</v>
      </c>
      <c r="E5" s="165"/>
      <c r="F5" s="165">
        <v>41</v>
      </c>
      <c r="G5" s="165">
        <v>58</v>
      </c>
      <c r="H5" s="165">
        <v>59</v>
      </c>
      <c r="I5" s="165">
        <v>61</v>
      </c>
      <c r="J5" s="165"/>
      <c r="K5" s="165"/>
      <c r="L5" s="165"/>
      <c r="M5" s="165"/>
      <c r="N5" s="165"/>
      <c r="O5" s="166"/>
      <c r="P5" s="13">
        <f t="shared" ref="P5:P18" si="3">SUM(C5:O5)</f>
        <v>317</v>
      </c>
      <c r="Q5" s="11">
        <f t="shared" ref="Q5:Q18" si="4">COUNTIF(C5:O5,"&gt;0")</f>
        <v>6</v>
      </c>
      <c r="R5" s="11">
        <f t="shared" ref="R5:R18" si="5">IF(P5=0," ",P5/Q5)</f>
        <v>52.833333333333336</v>
      </c>
      <c r="S5" s="12">
        <f t="shared" ref="S5:S18" si="6">IF(P5=0," ",P5/(Q5*B5)*100)</f>
        <v>91.091954022988503</v>
      </c>
      <c r="T5" s="70">
        <v>58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317</v>
      </c>
      <c r="AM5" s="95">
        <f t="shared" ref="AM5:AM18" si="11">Q5+AI5</f>
        <v>6</v>
      </c>
      <c r="AN5" s="11">
        <f t="shared" ref="AN5:AN18" si="12">IF(AL5=0," ",AL5/AM5)</f>
        <v>52.833333333333336</v>
      </c>
      <c r="AO5" s="12">
        <f t="shared" ref="AO5:AO18" si="13">IF(AL5=0," ",AL5/(AM5*T5)*100)</f>
        <v>91.091954022988503</v>
      </c>
    </row>
    <row r="6" spans="1:41" s="10" customFormat="1" ht="20.100000000000001" customHeight="1" x14ac:dyDescent="0.3">
      <c r="A6" s="69" t="s">
        <v>111</v>
      </c>
      <c r="B6" s="70">
        <v>27</v>
      </c>
      <c r="C6" s="164"/>
      <c r="D6" s="165">
        <v>26</v>
      </c>
      <c r="E6" s="165">
        <v>26</v>
      </c>
      <c r="F6" s="165"/>
      <c r="G6" s="165">
        <v>38</v>
      </c>
      <c r="H6" s="165">
        <v>19</v>
      </c>
      <c r="I6" s="165"/>
      <c r="J6" s="165">
        <v>39</v>
      </c>
      <c r="K6" s="165"/>
      <c r="L6" s="165"/>
      <c r="M6" s="165"/>
      <c r="N6" s="165"/>
      <c r="O6" s="166"/>
      <c r="P6" s="13">
        <f t="shared" si="3"/>
        <v>148</v>
      </c>
      <c r="Q6" s="11">
        <f t="shared" si="4"/>
        <v>5</v>
      </c>
      <c r="R6" s="11">
        <f t="shared" si="5"/>
        <v>29.6</v>
      </c>
      <c r="S6" s="12">
        <f t="shared" si="6"/>
        <v>109.62962962962963</v>
      </c>
      <c r="T6" s="70">
        <v>27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148</v>
      </c>
      <c r="AM6" s="95">
        <f t="shared" si="11"/>
        <v>5</v>
      </c>
      <c r="AN6" s="11">
        <f t="shared" si="12"/>
        <v>29.6</v>
      </c>
      <c r="AO6" s="12">
        <f t="shared" si="13"/>
        <v>109.62962962962963</v>
      </c>
    </row>
    <row r="7" spans="1:41" s="10" customFormat="1" ht="20.100000000000001" customHeight="1" x14ac:dyDescent="0.3">
      <c r="A7" s="26" t="s">
        <v>112</v>
      </c>
      <c r="B7" s="70">
        <v>30</v>
      </c>
      <c r="C7" s="164">
        <v>28</v>
      </c>
      <c r="D7" s="165"/>
      <c r="E7" s="165">
        <v>44</v>
      </c>
      <c r="F7" s="165">
        <v>48</v>
      </c>
      <c r="G7" s="165"/>
      <c r="H7" s="165">
        <v>35</v>
      </c>
      <c r="I7" s="165">
        <v>26</v>
      </c>
      <c r="J7" s="165">
        <v>32</v>
      </c>
      <c r="K7" s="165"/>
      <c r="L7" s="165"/>
      <c r="M7" s="165"/>
      <c r="N7" s="165"/>
      <c r="O7" s="166"/>
      <c r="P7" s="13">
        <f t="shared" si="3"/>
        <v>213</v>
      </c>
      <c r="Q7" s="11">
        <f t="shared" si="4"/>
        <v>6</v>
      </c>
      <c r="R7" s="11">
        <f t="shared" si="5"/>
        <v>35.5</v>
      </c>
      <c r="S7" s="12">
        <f t="shared" si="6"/>
        <v>118.33333333333333</v>
      </c>
      <c r="T7" s="70">
        <v>30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213</v>
      </c>
      <c r="AM7" s="95">
        <f t="shared" si="11"/>
        <v>6</v>
      </c>
      <c r="AN7" s="11">
        <f t="shared" si="12"/>
        <v>35.5</v>
      </c>
      <c r="AO7" s="12">
        <f t="shared" si="13"/>
        <v>118.33333333333333</v>
      </c>
    </row>
    <row r="8" spans="1:41" s="10" customFormat="1" ht="20.100000000000001" customHeight="1" x14ac:dyDescent="0.3">
      <c r="A8" s="26" t="s">
        <v>113</v>
      </c>
      <c r="B8" s="70">
        <v>53</v>
      </c>
      <c r="C8" s="164"/>
      <c r="D8" s="165">
        <v>73</v>
      </c>
      <c r="E8" s="165">
        <v>41</v>
      </c>
      <c r="F8" s="165"/>
      <c r="G8" s="165">
        <v>51</v>
      </c>
      <c r="H8" s="165">
        <v>32</v>
      </c>
      <c r="I8" s="165"/>
      <c r="J8" s="165">
        <v>58</v>
      </c>
      <c r="K8" s="165"/>
      <c r="L8" s="165"/>
      <c r="M8" s="165"/>
      <c r="N8" s="165"/>
      <c r="O8" s="166"/>
      <c r="P8" s="13">
        <f t="shared" si="3"/>
        <v>255</v>
      </c>
      <c r="Q8" s="11">
        <f t="shared" si="4"/>
        <v>5</v>
      </c>
      <c r="R8" s="11">
        <f t="shared" si="5"/>
        <v>51</v>
      </c>
      <c r="S8" s="12">
        <f t="shared" si="6"/>
        <v>96.226415094339629</v>
      </c>
      <c r="T8" s="70">
        <v>53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255</v>
      </c>
      <c r="AM8" s="95">
        <f t="shared" si="11"/>
        <v>5</v>
      </c>
      <c r="AN8" s="11">
        <f t="shared" si="12"/>
        <v>51</v>
      </c>
      <c r="AO8" s="12">
        <f t="shared" si="13"/>
        <v>96.226415094339629</v>
      </c>
    </row>
    <row r="9" spans="1:41" s="10" customFormat="1" ht="20.100000000000001" customHeight="1" x14ac:dyDescent="0.3">
      <c r="A9" s="26" t="s">
        <v>114</v>
      </c>
      <c r="B9" s="70">
        <v>24</v>
      </c>
      <c r="C9" s="164">
        <v>16</v>
      </c>
      <c r="D9" s="165"/>
      <c r="E9" s="165">
        <v>33</v>
      </c>
      <c r="F9" s="165">
        <v>17</v>
      </c>
      <c r="G9" s="165"/>
      <c r="H9" s="165"/>
      <c r="I9" s="165">
        <v>14</v>
      </c>
      <c r="J9" s="165">
        <v>13</v>
      </c>
      <c r="K9" s="165"/>
      <c r="L9" s="165"/>
      <c r="M9" s="165"/>
      <c r="N9" s="165"/>
      <c r="O9" s="166"/>
      <c r="P9" s="13">
        <f t="shared" si="3"/>
        <v>93</v>
      </c>
      <c r="Q9" s="11">
        <f t="shared" si="4"/>
        <v>5</v>
      </c>
      <c r="R9" s="11">
        <f t="shared" si="5"/>
        <v>18.600000000000001</v>
      </c>
      <c r="S9" s="12">
        <f t="shared" si="6"/>
        <v>77.5</v>
      </c>
      <c r="T9" s="70">
        <v>24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93</v>
      </c>
      <c r="AM9" s="95">
        <f t="shared" si="11"/>
        <v>5</v>
      </c>
      <c r="AN9" s="11">
        <f t="shared" si="12"/>
        <v>18.600000000000001</v>
      </c>
      <c r="AO9" s="12">
        <f t="shared" si="13"/>
        <v>77.5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4">
        <v>36</v>
      </c>
      <c r="D10" s="165">
        <v>19</v>
      </c>
      <c r="E10" s="165">
        <v>27</v>
      </c>
      <c r="F10" s="165">
        <v>26</v>
      </c>
      <c r="G10" s="165">
        <v>29</v>
      </c>
      <c r="H10" s="165"/>
      <c r="I10" s="165">
        <v>15</v>
      </c>
      <c r="J10" s="165">
        <v>19</v>
      </c>
      <c r="K10" s="165"/>
      <c r="L10" s="165"/>
      <c r="M10" s="165"/>
      <c r="N10" s="165"/>
      <c r="O10" s="166"/>
      <c r="P10" s="13">
        <f t="shared" si="3"/>
        <v>171</v>
      </c>
      <c r="Q10" s="11">
        <f t="shared" si="4"/>
        <v>7</v>
      </c>
      <c r="R10" s="11">
        <f t="shared" si="5"/>
        <v>24.428571428571427</v>
      </c>
      <c r="S10" s="12">
        <f t="shared" si="6"/>
        <v>101.78571428571428</v>
      </c>
      <c r="T10" s="70">
        <v>24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171</v>
      </c>
      <c r="AM10" s="95">
        <f t="shared" si="11"/>
        <v>7</v>
      </c>
      <c r="AN10" s="11">
        <f t="shared" si="12"/>
        <v>24.428571428571427</v>
      </c>
      <c r="AO10" s="12">
        <f t="shared" si="13"/>
        <v>101.78571428571428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4">
        <v>49</v>
      </c>
      <c r="D11" s="165">
        <v>52</v>
      </c>
      <c r="E11" s="165"/>
      <c r="F11" s="165">
        <v>47</v>
      </c>
      <c r="G11" s="165">
        <v>35</v>
      </c>
      <c r="H11" s="165">
        <v>30</v>
      </c>
      <c r="I11" s="165"/>
      <c r="J11" s="165">
        <v>62</v>
      </c>
      <c r="K11" s="165"/>
      <c r="L11" s="165"/>
      <c r="M11" s="165"/>
      <c r="N11" s="165"/>
      <c r="O11" s="166"/>
      <c r="P11" s="13">
        <f t="shared" si="3"/>
        <v>275</v>
      </c>
      <c r="Q11" s="11">
        <f t="shared" si="4"/>
        <v>6</v>
      </c>
      <c r="R11" s="11">
        <f t="shared" si="5"/>
        <v>45.833333333333336</v>
      </c>
      <c r="S11" s="12">
        <f t="shared" si="6"/>
        <v>84.876543209876544</v>
      </c>
      <c r="T11" s="70">
        <v>54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275</v>
      </c>
      <c r="AM11" s="95">
        <f t="shared" si="11"/>
        <v>6</v>
      </c>
      <c r="AN11" s="11">
        <f t="shared" si="12"/>
        <v>45.833333333333336</v>
      </c>
      <c r="AO11" s="12">
        <f t="shared" si="13"/>
        <v>84.876543209876544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4">
        <v>38</v>
      </c>
      <c r="D12" s="165"/>
      <c r="E12" s="165">
        <v>35</v>
      </c>
      <c r="F12" s="165">
        <v>26</v>
      </c>
      <c r="G12" s="165">
        <v>30</v>
      </c>
      <c r="H12" s="165"/>
      <c r="I12" s="165">
        <v>27</v>
      </c>
      <c r="J12" s="165"/>
      <c r="K12" s="165"/>
      <c r="L12" s="165"/>
      <c r="M12" s="165"/>
      <c r="N12" s="165"/>
      <c r="O12" s="166"/>
      <c r="P12" s="13">
        <f t="shared" si="3"/>
        <v>156</v>
      </c>
      <c r="Q12" s="11">
        <f t="shared" si="4"/>
        <v>5</v>
      </c>
      <c r="R12" s="11">
        <f t="shared" si="5"/>
        <v>31.2</v>
      </c>
      <c r="S12" s="12">
        <f t="shared" si="6"/>
        <v>84.324324324324323</v>
      </c>
      <c r="T12" s="70">
        <v>37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156</v>
      </c>
      <c r="AM12" s="95">
        <f t="shared" si="11"/>
        <v>5</v>
      </c>
      <c r="AN12" s="11">
        <f t="shared" si="12"/>
        <v>31.2</v>
      </c>
      <c r="AO12" s="12">
        <f t="shared" si="13"/>
        <v>84.324324324324323</v>
      </c>
    </row>
    <row r="13" spans="1:41" s="10" customFormat="1" ht="20.100000000000001" customHeight="1" x14ac:dyDescent="0.3">
      <c r="A13" s="26">
        <v>0</v>
      </c>
      <c r="B13" s="70">
        <v>0</v>
      </c>
      <c r="C13" s="164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6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COUNT(B1:B18)</f>
        <v>15</v>
      </c>
      <c r="B19" s="181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 t="shared" si="15"/>
        <v>0</v>
      </c>
      <c r="O19" s="19">
        <f t="shared" si="15"/>
        <v>0</v>
      </c>
      <c r="P19" s="19">
        <f t="shared" si="15"/>
        <v>1737</v>
      </c>
      <c r="Q19" s="19">
        <f t="shared" si="15"/>
        <v>48</v>
      </c>
      <c r="R19" s="19">
        <f>P19/Q19</f>
        <v>36.1875</v>
      </c>
      <c r="S19" s="22"/>
      <c r="T19" s="180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1737</v>
      </c>
      <c r="AM19" s="18">
        <f>SUM(AM4:AM18)</f>
        <v>48</v>
      </c>
      <c r="AN19" s="18">
        <f t="shared" ref="AN19" si="18">AL19/AM19</f>
        <v>36.1875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F4" sqref="F4:F13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314" t="s">
        <v>336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118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315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119</v>
      </c>
      <c r="B4" s="137">
        <v>31</v>
      </c>
      <c r="C4" s="161"/>
      <c r="D4" s="162">
        <v>37</v>
      </c>
      <c r="E4" s="162">
        <v>35</v>
      </c>
      <c r="F4" s="162">
        <v>31</v>
      </c>
      <c r="G4" s="162">
        <v>34</v>
      </c>
      <c r="H4" s="162">
        <v>36</v>
      </c>
      <c r="I4" s="162">
        <v>23</v>
      </c>
      <c r="J4" s="162">
        <v>30</v>
      </c>
      <c r="K4" s="162"/>
      <c r="L4" s="162"/>
      <c r="M4" s="162"/>
      <c r="N4" s="162"/>
      <c r="O4" s="163"/>
      <c r="P4" s="9">
        <f>SUM(C4:O4)</f>
        <v>226</v>
      </c>
      <c r="Q4" s="8">
        <f>COUNTIF(C4:O4,"&gt;0")</f>
        <v>7</v>
      </c>
      <c r="R4" s="8">
        <f>IF(P4=0," ",P4/Q4)</f>
        <v>32.285714285714285</v>
      </c>
      <c r="S4" s="94">
        <f>IF(P4=0," ",P4/(Q4*B4)*100)</f>
        <v>104.14746543778801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226</v>
      </c>
      <c r="AM4" s="123">
        <f t="shared" ref="AM4" si="1">Q4+AI4</f>
        <v>7</v>
      </c>
      <c r="AN4" s="8">
        <f>IF(AL4=0," ",AL4/AM4)</f>
        <v>32.285714285714285</v>
      </c>
      <c r="AO4" s="94">
        <f>IF(AL4=0," ",AL4/(AM4*T4)*100)</f>
        <v>104.14746543778801</v>
      </c>
    </row>
    <row r="5" spans="1:41" s="10" customFormat="1" ht="20.100000000000001" customHeight="1" x14ac:dyDescent="0.3">
      <c r="A5" s="26" t="s">
        <v>120</v>
      </c>
      <c r="B5" s="70">
        <v>24</v>
      </c>
      <c r="C5" s="164">
        <v>33</v>
      </c>
      <c r="D5" s="165"/>
      <c r="E5" s="165">
        <v>10</v>
      </c>
      <c r="F5" s="165">
        <v>21</v>
      </c>
      <c r="G5" s="165">
        <v>21</v>
      </c>
      <c r="H5" s="165"/>
      <c r="I5" s="165"/>
      <c r="J5" s="165">
        <v>18</v>
      </c>
      <c r="K5" s="165"/>
      <c r="L5" s="165"/>
      <c r="M5" s="165"/>
      <c r="N5" s="165"/>
      <c r="O5" s="166"/>
      <c r="P5" s="13">
        <f t="shared" ref="P5:P18" si="2">SUM(C5:O5)</f>
        <v>103</v>
      </c>
      <c r="Q5" s="11">
        <f t="shared" ref="Q5:Q18" si="3">COUNTIF(C5:O5,"&gt;0")</f>
        <v>5</v>
      </c>
      <c r="R5" s="11">
        <f t="shared" ref="R5:R18" si="4">IF(P5=0," ",P5/Q5)</f>
        <v>20.6</v>
      </c>
      <c r="S5" s="12">
        <f t="shared" ref="S5:S18" si="5">IF(P5=0," ",P5/(Q5*B5)*100)</f>
        <v>85.833333333333329</v>
      </c>
      <c r="T5" s="70">
        <v>24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103</v>
      </c>
      <c r="AM5" s="95">
        <f t="shared" ref="AM5:AM18" si="10">Q5+AI5</f>
        <v>5</v>
      </c>
      <c r="AN5" s="11">
        <f t="shared" ref="AN5:AN18" si="11">IF(AL5=0," ",AL5/AM5)</f>
        <v>20.6</v>
      </c>
      <c r="AO5" s="12">
        <f t="shared" ref="AO5:AO18" si="12">IF(AL5=0," ",AL5/(AM5*T5)*100)</f>
        <v>85.833333333333329</v>
      </c>
    </row>
    <row r="6" spans="1:41" s="10" customFormat="1" ht="20.100000000000001" customHeight="1" x14ac:dyDescent="0.3">
      <c r="A6" s="26" t="s">
        <v>121</v>
      </c>
      <c r="B6" s="70">
        <v>68</v>
      </c>
      <c r="C6" s="164">
        <v>56</v>
      </c>
      <c r="D6" s="165">
        <v>133</v>
      </c>
      <c r="E6" s="165">
        <v>44</v>
      </c>
      <c r="F6" s="165">
        <v>56</v>
      </c>
      <c r="G6" s="165">
        <v>57</v>
      </c>
      <c r="H6" s="165">
        <v>67</v>
      </c>
      <c r="I6" s="165">
        <v>54</v>
      </c>
      <c r="J6" s="165">
        <v>87</v>
      </c>
      <c r="K6" s="165"/>
      <c r="L6" s="165"/>
      <c r="M6" s="165"/>
      <c r="N6" s="165"/>
      <c r="O6" s="166"/>
      <c r="P6" s="13">
        <f t="shared" si="2"/>
        <v>554</v>
      </c>
      <c r="Q6" s="11">
        <f t="shared" si="3"/>
        <v>8</v>
      </c>
      <c r="R6" s="11">
        <f t="shared" si="4"/>
        <v>69.25</v>
      </c>
      <c r="S6" s="12">
        <f t="shared" si="5"/>
        <v>101.83823529411764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554</v>
      </c>
      <c r="AM6" s="95">
        <f t="shared" si="10"/>
        <v>8</v>
      </c>
      <c r="AN6" s="11">
        <f t="shared" si="11"/>
        <v>69.25</v>
      </c>
      <c r="AO6" s="12">
        <f t="shared" si="12"/>
        <v>101.83823529411764</v>
      </c>
    </row>
    <row r="7" spans="1:41" s="10" customFormat="1" ht="20.100000000000001" customHeight="1" x14ac:dyDescent="0.3">
      <c r="A7" s="69" t="s">
        <v>122</v>
      </c>
      <c r="B7" s="70">
        <v>35</v>
      </c>
      <c r="C7" s="164">
        <v>41</v>
      </c>
      <c r="D7" s="165">
        <v>43</v>
      </c>
      <c r="E7" s="165">
        <v>38</v>
      </c>
      <c r="F7" s="165"/>
      <c r="G7" s="165"/>
      <c r="H7" s="165"/>
      <c r="I7" s="165"/>
      <c r="J7" s="165"/>
      <c r="K7" s="165"/>
      <c r="L7" s="165"/>
      <c r="M7" s="165"/>
      <c r="N7" s="165"/>
      <c r="O7" s="166"/>
      <c r="P7" s="13">
        <f t="shared" si="2"/>
        <v>122</v>
      </c>
      <c r="Q7" s="11">
        <f t="shared" si="3"/>
        <v>3</v>
      </c>
      <c r="R7" s="11">
        <f t="shared" si="4"/>
        <v>40.666666666666664</v>
      </c>
      <c r="S7" s="12">
        <f t="shared" si="5"/>
        <v>116.1904761904762</v>
      </c>
      <c r="T7" s="70">
        <v>35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122</v>
      </c>
      <c r="AM7" s="95">
        <f t="shared" si="10"/>
        <v>3</v>
      </c>
      <c r="AN7" s="11">
        <f t="shared" si="11"/>
        <v>40.666666666666664</v>
      </c>
      <c r="AO7" s="12">
        <f t="shared" si="12"/>
        <v>116.1904761904762</v>
      </c>
    </row>
    <row r="8" spans="1:41" s="10" customFormat="1" ht="20.100000000000001" customHeight="1" x14ac:dyDescent="0.3">
      <c r="A8" s="26" t="s">
        <v>123</v>
      </c>
      <c r="B8" s="70">
        <v>35</v>
      </c>
      <c r="C8" s="164">
        <v>35</v>
      </c>
      <c r="D8" s="165">
        <v>22</v>
      </c>
      <c r="E8" s="165"/>
      <c r="F8" s="165"/>
      <c r="G8" s="165"/>
      <c r="H8" s="165"/>
      <c r="I8" s="165">
        <v>35</v>
      </c>
      <c r="J8" s="165"/>
      <c r="K8" s="165"/>
      <c r="L8" s="165"/>
      <c r="M8" s="165"/>
      <c r="N8" s="165"/>
      <c r="O8" s="166"/>
      <c r="P8" s="13">
        <f t="shared" si="2"/>
        <v>92</v>
      </c>
      <c r="Q8" s="11">
        <f t="shared" si="3"/>
        <v>3</v>
      </c>
      <c r="R8" s="11">
        <f t="shared" si="4"/>
        <v>30.666666666666668</v>
      </c>
      <c r="S8" s="12">
        <f t="shared" si="5"/>
        <v>87.61904761904762</v>
      </c>
      <c r="T8" s="70">
        <v>35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92</v>
      </c>
      <c r="AM8" s="95">
        <f t="shared" si="10"/>
        <v>3</v>
      </c>
      <c r="AN8" s="11">
        <f t="shared" si="11"/>
        <v>30.666666666666668</v>
      </c>
      <c r="AO8" s="12">
        <f t="shared" si="12"/>
        <v>87.61904761904762</v>
      </c>
    </row>
    <row r="9" spans="1:41" s="10" customFormat="1" ht="20.100000000000001" customHeight="1" x14ac:dyDescent="0.3">
      <c r="A9" s="26" t="s">
        <v>362</v>
      </c>
      <c r="B9" s="131">
        <v>20</v>
      </c>
      <c r="C9" s="164"/>
      <c r="D9" s="165"/>
      <c r="E9" s="165">
        <v>24</v>
      </c>
      <c r="F9" s="165">
        <v>22</v>
      </c>
      <c r="G9" s="165"/>
      <c r="H9" s="165">
        <v>13</v>
      </c>
      <c r="I9" s="165">
        <v>22</v>
      </c>
      <c r="J9" s="165"/>
      <c r="K9" s="165"/>
      <c r="L9" s="165"/>
      <c r="M9" s="165"/>
      <c r="N9" s="165"/>
      <c r="O9" s="166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131">
        <v>20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363</v>
      </c>
      <c r="B10" s="70">
        <v>15</v>
      </c>
      <c r="C10" s="164">
        <v>17</v>
      </c>
      <c r="D10" s="165">
        <v>17</v>
      </c>
      <c r="E10" s="165"/>
      <c r="F10" s="165">
        <v>21</v>
      </c>
      <c r="G10" s="165">
        <v>9</v>
      </c>
      <c r="H10" s="165">
        <v>21</v>
      </c>
      <c r="I10" s="165"/>
      <c r="J10" s="165">
        <v>9</v>
      </c>
      <c r="K10" s="165"/>
      <c r="L10" s="165"/>
      <c r="M10" s="165"/>
      <c r="N10" s="165"/>
      <c r="O10" s="166"/>
      <c r="P10" s="13">
        <f t="shared" si="2"/>
        <v>94</v>
      </c>
      <c r="Q10" s="11">
        <f t="shared" si="3"/>
        <v>6</v>
      </c>
      <c r="R10" s="11">
        <f t="shared" si="4"/>
        <v>15.666666666666666</v>
      </c>
      <c r="S10" s="12">
        <f t="shared" si="5"/>
        <v>104.44444444444446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94</v>
      </c>
      <c r="AM10" s="95">
        <f t="shared" si="10"/>
        <v>6</v>
      </c>
      <c r="AN10" s="11">
        <f t="shared" si="11"/>
        <v>15.666666666666666</v>
      </c>
      <c r="AO10" s="12">
        <f t="shared" si="12"/>
        <v>104.44444444444446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4"/>
      <c r="D11" s="165"/>
      <c r="E11" s="165"/>
      <c r="F11" s="165"/>
      <c r="G11" s="165">
        <v>20</v>
      </c>
      <c r="H11" s="165"/>
      <c r="I11" s="165"/>
      <c r="J11" s="165">
        <v>20</v>
      </c>
      <c r="K11" s="165"/>
      <c r="L11" s="165"/>
      <c r="M11" s="165"/>
      <c r="N11" s="165"/>
      <c r="O11" s="166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4"/>
      <c r="D12" s="165">
        <v>18</v>
      </c>
      <c r="E12" s="165">
        <v>15</v>
      </c>
      <c r="F12" s="165"/>
      <c r="G12" s="165"/>
      <c r="H12" s="165">
        <v>24</v>
      </c>
      <c r="I12" s="165">
        <v>16</v>
      </c>
      <c r="J12" s="165">
        <v>15</v>
      </c>
      <c r="K12" s="165"/>
      <c r="L12" s="165"/>
      <c r="M12" s="165"/>
      <c r="N12" s="165"/>
      <c r="O12" s="166"/>
      <c r="P12" s="13">
        <f t="shared" si="2"/>
        <v>88</v>
      </c>
      <c r="Q12" s="11">
        <f t="shared" si="3"/>
        <v>5</v>
      </c>
      <c r="R12" s="11">
        <f t="shared" si="4"/>
        <v>17.600000000000001</v>
      </c>
      <c r="S12" s="12">
        <f t="shared" si="5"/>
        <v>92.631578947368425</v>
      </c>
      <c r="T12" s="70">
        <v>19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88</v>
      </c>
      <c r="AM12" s="95">
        <f t="shared" si="10"/>
        <v>5</v>
      </c>
      <c r="AN12" s="11">
        <f t="shared" si="11"/>
        <v>17.600000000000001</v>
      </c>
      <c r="AO12" s="12">
        <f t="shared" si="12"/>
        <v>92.631578947368425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4">
        <v>31</v>
      </c>
      <c r="D13" s="165"/>
      <c r="E13" s="165"/>
      <c r="F13" s="165">
        <v>28</v>
      </c>
      <c r="G13" s="165">
        <v>22</v>
      </c>
      <c r="H13" s="165">
        <v>20</v>
      </c>
      <c r="I13" s="165">
        <v>14</v>
      </c>
      <c r="J13" s="165"/>
      <c r="K13" s="165"/>
      <c r="L13" s="165"/>
      <c r="M13" s="165"/>
      <c r="N13" s="165"/>
      <c r="O13" s="166"/>
      <c r="P13" s="13">
        <f t="shared" si="2"/>
        <v>115</v>
      </c>
      <c r="Q13" s="11">
        <f t="shared" si="3"/>
        <v>5</v>
      </c>
      <c r="R13" s="11">
        <f t="shared" si="4"/>
        <v>23</v>
      </c>
      <c r="S13" s="12">
        <v>0</v>
      </c>
      <c r="T13" s="70">
        <v>23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115</v>
      </c>
      <c r="AM13" s="95">
        <f t="shared" si="10"/>
        <v>5</v>
      </c>
      <c r="AN13" s="11">
        <f t="shared" si="11"/>
        <v>23</v>
      </c>
      <c r="AO13" s="12">
        <f t="shared" si="12"/>
        <v>100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 t="shared" si="14"/>
        <v>179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ref="O19:Q19" si="15">SUM(O4:O18)</f>
        <v>0</v>
      </c>
      <c r="P19" s="19">
        <f t="shared" si="15"/>
        <v>1515</v>
      </c>
      <c r="Q19" s="19">
        <f t="shared" si="15"/>
        <v>48</v>
      </c>
      <c r="R19" s="19">
        <f>P19/Q19</f>
        <v>31.5625</v>
      </c>
      <c r="S19" s="22"/>
      <c r="T19" s="180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1515</v>
      </c>
      <c r="AM19" s="18">
        <f>SUM(AM4:AM18)</f>
        <v>48</v>
      </c>
      <c r="AN19" s="18">
        <f t="shared" ref="AN19" si="18">AL19/AM19</f>
        <v>31.5625</v>
      </c>
      <c r="AO19" s="2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="85" zoomScaleNormal="85" workbookViewId="0">
      <selection activeCell="J7" sqref="J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28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128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129</v>
      </c>
      <c r="B4" s="137">
        <v>24</v>
      </c>
      <c r="C4" s="161">
        <v>28</v>
      </c>
      <c r="D4" s="162"/>
      <c r="E4" s="162">
        <v>33</v>
      </c>
      <c r="F4" s="162"/>
      <c r="G4" s="162"/>
      <c r="H4" s="162"/>
      <c r="I4" s="162">
        <v>16</v>
      </c>
      <c r="J4" s="162">
        <v>36</v>
      </c>
      <c r="K4" s="162"/>
      <c r="L4" s="162"/>
      <c r="M4" s="162"/>
      <c r="N4" s="162"/>
      <c r="O4" s="163"/>
      <c r="P4" s="9">
        <f>SUM(C4:O4)</f>
        <v>113</v>
      </c>
      <c r="Q4" s="8">
        <f>COUNTIF(C4:O4,"&gt;0")</f>
        <v>4</v>
      </c>
      <c r="R4" s="8">
        <f>IF(P4=0," ",P4/Q4)</f>
        <v>28.25</v>
      </c>
      <c r="S4" s="94">
        <f>IF(P4=0," ",P4/(Q4*B4)*100)</f>
        <v>117.70833333333333</v>
      </c>
      <c r="T4" s="70">
        <v>24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113</v>
      </c>
      <c r="AM4" s="123">
        <f t="shared" ref="AM4" si="1">Q4+AI4</f>
        <v>4</v>
      </c>
      <c r="AN4" s="8">
        <f>IF(AL4=0," ",AL4/AM4)</f>
        <v>28.25</v>
      </c>
      <c r="AO4" s="94">
        <f>IF(AL4=0," ",AL4/(AM4*T4)*100)</f>
        <v>117.70833333333333</v>
      </c>
    </row>
    <row r="5" spans="1:41" s="10" customFormat="1" ht="20.100000000000001" customHeight="1" x14ac:dyDescent="0.3">
      <c r="A5" s="26" t="s">
        <v>130</v>
      </c>
      <c r="B5" s="70">
        <v>27</v>
      </c>
      <c r="C5" s="164">
        <v>22</v>
      </c>
      <c r="D5" s="165"/>
      <c r="E5" s="165">
        <v>29</v>
      </c>
      <c r="F5" s="165"/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51</v>
      </c>
      <c r="Q5" s="11">
        <f t="shared" ref="Q5:Q18" si="3">COUNTIF(C5:O5,"&gt;0")</f>
        <v>2</v>
      </c>
      <c r="R5" s="11">
        <f t="shared" ref="R5:R18" si="4">IF(P5=0," ",P5/Q5)</f>
        <v>25.5</v>
      </c>
      <c r="S5" s="12">
        <f t="shared" ref="S5:S18" si="5">IF(P5=0," ",P5/(Q5*B5)*100)</f>
        <v>94.444444444444443</v>
      </c>
      <c r="T5" s="70">
        <v>27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51</v>
      </c>
      <c r="AM5" s="95">
        <f t="shared" ref="AM5:AM18" si="10">Q5+AI5</f>
        <v>2</v>
      </c>
      <c r="AN5" s="11">
        <f t="shared" ref="AN5:AN18" si="11">IF(AL5=0," ",AL5/AM5)</f>
        <v>25.5</v>
      </c>
      <c r="AO5" s="12">
        <f t="shared" ref="AO5:AO18" si="12">IF(AL5=0," ",AL5/(AM5*T5)*100)</f>
        <v>94.444444444444443</v>
      </c>
    </row>
    <row r="6" spans="1:41" s="10" customFormat="1" ht="20.100000000000001" customHeight="1" x14ac:dyDescent="0.3">
      <c r="A6" s="69" t="s">
        <v>131</v>
      </c>
      <c r="B6" s="70">
        <v>69</v>
      </c>
      <c r="C6" s="164"/>
      <c r="D6" s="165">
        <v>68</v>
      </c>
      <c r="E6" s="165"/>
      <c r="F6" s="165"/>
      <c r="G6" s="165"/>
      <c r="H6" s="165"/>
      <c r="I6" s="165">
        <v>58</v>
      </c>
      <c r="J6" s="165">
        <v>59</v>
      </c>
      <c r="K6" s="165"/>
      <c r="L6" s="165"/>
      <c r="M6" s="165"/>
      <c r="N6" s="165"/>
      <c r="O6" s="166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4">
        <v>22</v>
      </c>
      <c r="D7" s="165"/>
      <c r="E7" s="165">
        <v>39</v>
      </c>
      <c r="F7" s="165">
        <v>25</v>
      </c>
      <c r="G7" s="165">
        <v>24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110</v>
      </c>
      <c r="Q7" s="11">
        <f t="shared" si="3"/>
        <v>4</v>
      </c>
      <c r="R7" s="11">
        <f t="shared" si="4"/>
        <v>27.5</v>
      </c>
      <c r="S7" s="12">
        <f t="shared" si="5"/>
        <v>94.827586206896555</v>
      </c>
      <c r="T7" s="70">
        <v>29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110</v>
      </c>
      <c r="AM7" s="95">
        <f t="shared" si="10"/>
        <v>4</v>
      </c>
      <c r="AN7" s="11">
        <f t="shared" si="11"/>
        <v>27.5</v>
      </c>
      <c r="AO7" s="12">
        <f t="shared" si="12"/>
        <v>94.827586206896555</v>
      </c>
    </row>
    <row r="8" spans="1:41" s="10" customFormat="1" ht="20.100000000000001" customHeight="1" x14ac:dyDescent="0.3">
      <c r="A8" s="26" t="s">
        <v>133</v>
      </c>
      <c r="B8" s="70">
        <v>17</v>
      </c>
      <c r="C8" s="164"/>
      <c r="D8" s="165"/>
      <c r="E8" s="165"/>
      <c r="F8" s="165">
        <v>13</v>
      </c>
      <c r="G8" s="165"/>
      <c r="H8" s="165">
        <v>14</v>
      </c>
      <c r="I8" s="165"/>
      <c r="J8" s="165"/>
      <c r="K8" s="165"/>
      <c r="L8" s="165"/>
      <c r="M8" s="165"/>
      <c r="N8" s="165"/>
      <c r="O8" s="166"/>
      <c r="P8" s="13">
        <f t="shared" si="2"/>
        <v>27</v>
      </c>
      <c r="Q8" s="11">
        <f t="shared" si="3"/>
        <v>2</v>
      </c>
      <c r="R8" s="11">
        <f t="shared" si="4"/>
        <v>13.5</v>
      </c>
      <c r="S8" s="12">
        <f t="shared" si="5"/>
        <v>79.411764705882348</v>
      </c>
      <c r="T8" s="70">
        <v>17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27</v>
      </c>
      <c r="AM8" s="95">
        <f t="shared" si="10"/>
        <v>2</v>
      </c>
      <c r="AN8" s="11">
        <f t="shared" si="11"/>
        <v>13.5</v>
      </c>
      <c r="AO8" s="12">
        <f t="shared" si="12"/>
        <v>79.411764705882348</v>
      </c>
    </row>
    <row r="9" spans="1:41" s="10" customFormat="1" ht="20.100000000000001" customHeight="1" x14ac:dyDescent="0.3">
      <c r="A9" s="26" t="s">
        <v>134</v>
      </c>
      <c r="B9" s="70">
        <v>18</v>
      </c>
      <c r="C9" s="164"/>
      <c r="D9" s="165">
        <v>19</v>
      </c>
      <c r="E9" s="165">
        <v>15</v>
      </c>
      <c r="F9" s="165"/>
      <c r="G9" s="165">
        <v>10</v>
      </c>
      <c r="H9" s="165">
        <v>19</v>
      </c>
      <c r="I9" s="165">
        <v>23</v>
      </c>
      <c r="J9" s="165">
        <v>13</v>
      </c>
      <c r="K9" s="165"/>
      <c r="L9" s="165"/>
      <c r="M9" s="165"/>
      <c r="N9" s="165"/>
      <c r="O9" s="166"/>
      <c r="P9" s="13">
        <f t="shared" si="2"/>
        <v>99</v>
      </c>
      <c r="Q9" s="11">
        <f t="shared" si="3"/>
        <v>6</v>
      </c>
      <c r="R9" s="11">
        <f t="shared" si="4"/>
        <v>16.5</v>
      </c>
      <c r="S9" s="12">
        <f t="shared" si="5"/>
        <v>91.666666666666657</v>
      </c>
      <c r="T9" s="70">
        <v>18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99</v>
      </c>
      <c r="AM9" s="95">
        <f t="shared" si="10"/>
        <v>6</v>
      </c>
      <c r="AN9" s="11">
        <f t="shared" si="11"/>
        <v>16.5</v>
      </c>
      <c r="AO9" s="12">
        <f t="shared" si="12"/>
        <v>91.666666666666657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4">
        <v>21</v>
      </c>
      <c r="D10" s="165"/>
      <c r="E10" s="165"/>
      <c r="F10" s="165"/>
      <c r="G10" s="165"/>
      <c r="H10" s="165"/>
      <c r="I10" s="165">
        <v>19</v>
      </c>
      <c r="J10" s="165">
        <v>17</v>
      </c>
      <c r="K10" s="165"/>
      <c r="L10" s="165"/>
      <c r="M10" s="165"/>
      <c r="N10" s="165"/>
      <c r="O10" s="166"/>
      <c r="P10" s="13">
        <f t="shared" si="2"/>
        <v>57</v>
      </c>
      <c r="Q10" s="11">
        <f t="shared" si="3"/>
        <v>3</v>
      </c>
      <c r="R10" s="11">
        <f t="shared" si="4"/>
        <v>19</v>
      </c>
      <c r="S10" s="12">
        <f t="shared" si="5"/>
        <v>67.857142857142861</v>
      </c>
      <c r="T10" s="70">
        <v>28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57</v>
      </c>
      <c r="AM10" s="95">
        <f t="shared" si="10"/>
        <v>3</v>
      </c>
      <c r="AN10" s="11">
        <f t="shared" si="11"/>
        <v>19</v>
      </c>
      <c r="AO10" s="12">
        <f t="shared" si="12"/>
        <v>67.857142857142861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4"/>
      <c r="D11" s="165">
        <v>76</v>
      </c>
      <c r="E11" s="165"/>
      <c r="F11" s="165">
        <v>63</v>
      </c>
      <c r="G11" s="165">
        <v>94</v>
      </c>
      <c r="H11" s="165">
        <v>43</v>
      </c>
      <c r="I11" s="165"/>
      <c r="J11" s="165"/>
      <c r="K11" s="165"/>
      <c r="L11" s="165"/>
      <c r="M11" s="165"/>
      <c r="N11" s="165"/>
      <c r="O11" s="166"/>
      <c r="P11" s="13">
        <f t="shared" si="2"/>
        <v>276</v>
      </c>
      <c r="Q11" s="11">
        <f t="shared" si="3"/>
        <v>4</v>
      </c>
      <c r="R11" s="11">
        <f t="shared" si="4"/>
        <v>69</v>
      </c>
      <c r="S11" s="12">
        <f t="shared" si="5"/>
        <v>111.29032258064515</v>
      </c>
      <c r="T11" s="70">
        <v>62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276</v>
      </c>
      <c r="AM11" s="95">
        <f t="shared" si="10"/>
        <v>4</v>
      </c>
      <c r="AN11" s="11">
        <f t="shared" si="11"/>
        <v>69</v>
      </c>
      <c r="AO11" s="12">
        <f t="shared" si="12"/>
        <v>111.29032258064515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4"/>
      <c r="D12" s="165"/>
      <c r="E12" s="165">
        <v>15</v>
      </c>
      <c r="F12" s="165">
        <v>29</v>
      </c>
      <c r="G12" s="165">
        <v>44</v>
      </c>
      <c r="H12" s="165">
        <v>26</v>
      </c>
      <c r="I12" s="165"/>
      <c r="J12" s="165"/>
      <c r="K12" s="165"/>
      <c r="L12" s="165"/>
      <c r="M12" s="165"/>
      <c r="N12" s="165"/>
      <c r="O12" s="166"/>
      <c r="P12" s="13">
        <f t="shared" si="2"/>
        <v>114</v>
      </c>
      <c r="Q12" s="11">
        <f t="shared" si="3"/>
        <v>4</v>
      </c>
      <c r="R12" s="11">
        <f t="shared" si="4"/>
        <v>28.5</v>
      </c>
      <c r="S12" s="12">
        <f t="shared" si="5"/>
        <v>113.99999999999999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114</v>
      </c>
      <c r="AM12" s="95">
        <f t="shared" si="10"/>
        <v>4</v>
      </c>
      <c r="AN12" s="11">
        <f t="shared" si="11"/>
        <v>28.5</v>
      </c>
      <c r="AO12" s="12">
        <f t="shared" si="12"/>
        <v>113.99999999999999</v>
      </c>
    </row>
    <row r="13" spans="1:41" s="10" customFormat="1" ht="20.100000000000001" customHeight="1" x14ac:dyDescent="0.3">
      <c r="A13" s="26" t="s">
        <v>335</v>
      </c>
      <c r="B13" s="131">
        <v>25</v>
      </c>
      <c r="C13" s="164">
        <v>33</v>
      </c>
      <c r="D13" s="165"/>
      <c r="E13" s="165"/>
      <c r="F13" s="165"/>
      <c r="G13" s="165"/>
      <c r="H13" s="165"/>
      <c r="I13" s="165"/>
      <c r="J13" s="165">
        <v>20</v>
      </c>
      <c r="K13" s="165"/>
      <c r="L13" s="165"/>
      <c r="M13" s="165"/>
      <c r="N13" s="165"/>
      <c r="O13" s="166"/>
      <c r="P13" s="13">
        <f t="shared" si="2"/>
        <v>53</v>
      </c>
      <c r="Q13" s="11">
        <f t="shared" si="3"/>
        <v>2</v>
      </c>
      <c r="R13" s="11">
        <f t="shared" si="4"/>
        <v>26.5</v>
      </c>
      <c r="S13" s="12">
        <f t="shared" si="5"/>
        <v>106</v>
      </c>
      <c r="T13" s="131">
        <v>25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53</v>
      </c>
      <c r="AM13" s="95">
        <f t="shared" si="10"/>
        <v>2</v>
      </c>
      <c r="AN13" s="11">
        <f t="shared" si="11"/>
        <v>26.5</v>
      </c>
      <c r="AO13" s="12">
        <f t="shared" si="12"/>
        <v>106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4">
        <v>22</v>
      </c>
      <c r="D14" s="165"/>
      <c r="E14" s="165">
        <v>22</v>
      </c>
      <c r="F14" s="165">
        <v>37</v>
      </c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81</v>
      </c>
      <c r="Q14" s="11">
        <f t="shared" si="3"/>
        <v>3</v>
      </c>
      <c r="R14" s="11">
        <f t="shared" si="4"/>
        <v>27</v>
      </c>
      <c r="S14" s="12">
        <f t="shared" si="5"/>
        <v>79.411764705882348</v>
      </c>
      <c r="T14" s="70">
        <v>34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81</v>
      </c>
      <c r="AM14" s="95">
        <f t="shared" si="10"/>
        <v>3</v>
      </c>
      <c r="AN14" s="11">
        <f t="shared" si="11"/>
        <v>27</v>
      </c>
      <c r="AO14" s="12">
        <f t="shared" si="12"/>
        <v>79.411764705882348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4"/>
      <c r="D15" s="165">
        <v>9</v>
      </c>
      <c r="E15" s="165"/>
      <c r="F15" s="165">
        <v>13</v>
      </c>
      <c r="G15" s="165">
        <v>21</v>
      </c>
      <c r="H15" s="165">
        <v>27</v>
      </c>
      <c r="I15" s="165"/>
      <c r="J15" s="165"/>
      <c r="K15" s="165"/>
      <c r="L15" s="165"/>
      <c r="M15" s="165"/>
      <c r="N15" s="165"/>
      <c r="O15" s="166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102.94117647058823</v>
      </c>
      <c r="T15" s="70">
        <v>17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102.94117647058823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4"/>
      <c r="D16" s="165">
        <v>20</v>
      </c>
      <c r="E16" s="165"/>
      <c r="F16" s="165"/>
      <c r="G16" s="165">
        <v>63</v>
      </c>
      <c r="H16" s="165"/>
      <c r="I16" s="165">
        <v>38</v>
      </c>
      <c r="J16" s="165"/>
      <c r="K16" s="165"/>
      <c r="L16" s="165"/>
      <c r="M16" s="165"/>
      <c r="N16" s="165"/>
      <c r="O16" s="166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4"/>
      <c r="D17" s="165">
        <v>30</v>
      </c>
      <c r="E17" s="165"/>
      <c r="F17" s="165"/>
      <c r="G17" s="165"/>
      <c r="H17" s="165">
        <v>80</v>
      </c>
      <c r="I17" s="165">
        <v>26</v>
      </c>
      <c r="J17" s="165">
        <v>43</v>
      </c>
      <c r="K17" s="165"/>
      <c r="L17" s="165"/>
      <c r="M17" s="165"/>
      <c r="N17" s="165"/>
      <c r="O17" s="166"/>
      <c r="P17" s="13">
        <f t="shared" si="2"/>
        <v>179</v>
      </c>
      <c r="Q17" s="11">
        <f t="shared" si="3"/>
        <v>4</v>
      </c>
      <c r="R17" s="11">
        <f t="shared" si="4"/>
        <v>44.75</v>
      </c>
      <c r="S17" s="12">
        <f t="shared" si="5"/>
        <v>120.94594594594594</v>
      </c>
      <c r="T17" s="70">
        <v>37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179</v>
      </c>
      <c r="AM17" s="95">
        <f t="shared" si="10"/>
        <v>4</v>
      </c>
      <c r="AN17" s="11">
        <f t="shared" si="11"/>
        <v>44.75</v>
      </c>
      <c r="AO17" s="12">
        <f t="shared" si="12"/>
        <v>120.94594594594594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60">
        <f>COUNT(B3:B18)</f>
        <v>15</v>
      </c>
      <c r="B19" s="181">
        <f t="shared" ref="B19:P19" si="13">SUM(B4:B18)</f>
        <v>455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1536</v>
      </c>
      <c r="Q19" s="19">
        <f>SUM(Q4:Q15)</f>
        <v>41</v>
      </c>
      <c r="R19" s="19">
        <f>P19/Q19</f>
        <v>37.463414634146339</v>
      </c>
      <c r="S19" s="22"/>
      <c r="T19" s="180">
        <f>SUM(T4:T18)</f>
        <v>455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1536</v>
      </c>
      <c r="AM19" s="18">
        <f>SUM(AM4:AM18)</f>
        <v>48</v>
      </c>
      <c r="AN19" s="18">
        <f t="shared" ref="AN19" si="16">AL19/AM19</f>
        <v>32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T24"/>
  <sheetViews>
    <sheetView showGridLines="0" showRowColHeaders="0" topLeftCell="A2" zoomScale="115" zoomScaleNormal="115" workbookViewId="0">
      <selection activeCell="Z24" sqref="Z2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6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6" ht="121.5" customHeight="1" thickBot="1" x14ac:dyDescent="0.35">
      <c r="A2" s="314" t="s">
        <v>142</v>
      </c>
      <c r="B2" s="299" t="s">
        <v>42</v>
      </c>
      <c r="C2" s="301" t="s">
        <v>98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99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6" ht="15" customHeight="1" thickBot="1" x14ac:dyDescent="0.35">
      <c r="A3" s="315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6" s="10" customFormat="1" ht="20.100000000000001" customHeight="1" x14ac:dyDescent="0.2">
      <c r="A4" s="178" t="s">
        <v>143</v>
      </c>
      <c r="B4" s="137">
        <v>38</v>
      </c>
      <c r="C4" s="161">
        <v>65</v>
      </c>
      <c r="D4" s="162">
        <v>38</v>
      </c>
      <c r="E4" s="162">
        <v>31</v>
      </c>
      <c r="F4" s="162"/>
      <c r="G4" s="162">
        <v>30</v>
      </c>
      <c r="H4" s="162">
        <v>30</v>
      </c>
      <c r="I4" s="162"/>
      <c r="J4" s="162"/>
      <c r="K4" s="162"/>
      <c r="L4" s="162"/>
      <c r="M4" s="162"/>
      <c r="N4" s="162"/>
      <c r="O4" s="163"/>
      <c r="P4" s="9">
        <f>SUM(C4:O4)</f>
        <v>194</v>
      </c>
      <c r="Q4" s="8">
        <f>COUNTIF(C4:O4,"&gt;0")</f>
        <v>5</v>
      </c>
      <c r="R4" s="8">
        <f>IF(P4=0," ",P4/Q4)</f>
        <v>38.799999999999997</v>
      </c>
      <c r="S4" s="94">
        <f>IF(P4=0," ",P4/(Q4*B4)*100)</f>
        <v>102.10526315789474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194</v>
      </c>
      <c r="AM4" s="123">
        <f t="shared" ref="AM4" si="1">Q4+AI4</f>
        <v>5</v>
      </c>
      <c r="AN4" s="8">
        <f>IF(AL4=0," ",AL4/AM4)</f>
        <v>38.799999999999997</v>
      </c>
      <c r="AO4" s="94">
        <f>IF(AL4=0," ",AL4/(AM4*T4)*100)</f>
        <v>102.10526315789474</v>
      </c>
      <c r="AS4" s="229" t="str">
        <f>INDEX(A4:A18,MATCH(MAX(AO4:AO18),AO4:AO18,))</f>
        <v xml:space="preserve">Schaeken Pierre </v>
      </c>
      <c r="AT4" s="10">
        <f>MAX(AO:AO)</f>
        <v>148.33333333333334</v>
      </c>
    </row>
    <row r="5" spans="1:46" s="10" customFormat="1" ht="20.100000000000001" customHeight="1" x14ac:dyDescent="0.3">
      <c r="A5" s="26" t="s">
        <v>144</v>
      </c>
      <c r="B5" s="70">
        <v>20</v>
      </c>
      <c r="C5" s="164"/>
      <c r="D5" s="165">
        <v>23</v>
      </c>
      <c r="E5" s="165"/>
      <c r="F5" s="165">
        <v>16</v>
      </c>
      <c r="G5" s="165"/>
      <c r="H5" s="165">
        <v>15</v>
      </c>
      <c r="I5" s="165"/>
      <c r="J5" s="165">
        <v>25</v>
      </c>
      <c r="K5" s="165"/>
      <c r="L5" s="165"/>
      <c r="M5" s="165"/>
      <c r="N5" s="165"/>
      <c r="O5" s="166"/>
      <c r="P5" s="13">
        <f t="shared" ref="P5:P18" si="2">SUM(C5:O5)</f>
        <v>79</v>
      </c>
      <c r="Q5" s="11">
        <f t="shared" ref="Q5:Q18" si="3">COUNTIF(C5:O5,"&gt;0")</f>
        <v>4</v>
      </c>
      <c r="R5" s="11">
        <f t="shared" ref="R5:R18" si="4">IF(P5=0," ",P5/Q5)</f>
        <v>19.75</v>
      </c>
      <c r="S5" s="12">
        <f t="shared" ref="S5:S18" si="5">IF(P5=0," ",P5/(Q5*B5)*100)</f>
        <v>98.75</v>
      </c>
      <c r="T5" s="70">
        <v>20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79</v>
      </c>
      <c r="AM5" s="95">
        <f t="shared" ref="AM5:AM18" si="10">Q5+AI5</f>
        <v>4</v>
      </c>
      <c r="AN5" s="11">
        <f t="shared" ref="AN5:AN18" si="11">IF(AL5=0," ",AL5/AM5)</f>
        <v>19.75</v>
      </c>
      <c r="AO5" s="12">
        <f t="shared" ref="AO5:AO18" si="12">IF(AL5=0," ",AL5/(AM5*T5)*100)</f>
        <v>98.75</v>
      </c>
    </row>
    <row r="6" spans="1:46" s="10" customFormat="1" ht="20.100000000000001" customHeight="1" x14ac:dyDescent="0.3">
      <c r="A6" s="26" t="s">
        <v>145</v>
      </c>
      <c r="B6" s="70">
        <v>15</v>
      </c>
      <c r="C6" s="164">
        <v>13</v>
      </c>
      <c r="D6" s="165">
        <v>13</v>
      </c>
      <c r="E6" s="165"/>
      <c r="F6" s="165">
        <v>14</v>
      </c>
      <c r="G6" s="165">
        <v>12</v>
      </c>
      <c r="H6" s="165">
        <v>8</v>
      </c>
      <c r="I6" s="165">
        <v>13</v>
      </c>
      <c r="J6" s="165"/>
      <c r="K6" s="165"/>
      <c r="L6" s="165"/>
      <c r="M6" s="165"/>
      <c r="N6" s="165"/>
      <c r="O6" s="166"/>
      <c r="P6" s="13">
        <f t="shared" si="2"/>
        <v>73</v>
      </c>
      <c r="Q6" s="11">
        <f t="shared" si="3"/>
        <v>6</v>
      </c>
      <c r="R6" s="11">
        <f t="shared" si="4"/>
        <v>12.166666666666666</v>
      </c>
      <c r="S6" s="12">
        <f t="shared" si="5"/>
        <v>81.111111111111114</v>
      </c>
      <c r="T6" s="70">
        <v>15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73</v>
      </c>
      <c r="AM6" s="95">
        <f t="shared" si="10"/>
        <v>6</v>
      </c>
      <c r="AN6" s="11">
        <f t="shared" si="11"/>
        <v>12.166666666666666</v>
      </c>
      <c r="AO6" s="12">
        <f t="shared" si="12"/>
        <v>81.111111111111114</v>
      </c>
    </row>
    <row r="7" spans="1:46" s="10" customFormat="1" ht="20.100000000000001" customHeight="1" x14ac:dyDescent="0.3">
      <c r="A7" s="26" t="s">
        <v>146</v>
      </c>
      <c r="B7" s="70">
        <v>79</v>
      </c>
      <c r="C7" s="164">
        <v>73</v>
      </c>
      <c r="D7" s="165">
        <v>51</v>
      </c>
      <c r="E7" s="165">
        <v>99</v>
      </c>
      <c r="F7" s="165">
        <v>57</v>
      </c>
      <c r="G7" s="165">
        <v>93</v>
      </c>
      <c r="H7" s="165">
        <v>78</v>
      </c>
      <c r="I7" s="165">
        <v>65</v>
      </c>
      <c r="J7" s="165">
        <v>68</v>
      </c>
      <c r="K7" s="165"/>
      <c r="L7" s="165"/>
      <c r="M7" s="165"/>
      <c r="N7" s="165"/>
      <c r="O7" s="166"/>
      <c r="P7" s="13">
        <f t="shared" si="2"/>
        <v>584</v>
      </c>
      <c r="Q7" s="11">
        <f t="shared" si="3"/>
        <v>8</v>
      </c>
      <c r="R7" s="11">
        <f t="shared" si="4"/>
        <v>73</v>
      </c>
      <c r="S7" s="12">
        <f t="shared" si="5"/>
        <v>92.405063291139243</v>
      </c>
      <c r="T7" s="70">
        <v>79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584</v>
      </c>
      <c r="AM7" s="95">
        <f t="shared" si="10"/>
        <v>8</v>
      </c>
      <c r="AN7" s="11">
        <f t="shared" si="11"/>
        <v>73</v>
      </c>
      <c r="AO7" s="12">
        <f t="shared" si="12"/>
        <v>92.405063291139243</v>
      </c>
    </row>
    <row r="8" spans="1:46" s="10" customFormat="1" ht="20.100000000000001" customHeight="1" x14ac:dyDescent="0.3">
      <c r="A8" s="26" t="s">
        <v>313</v>
      </c>
      <c r="B8" s="70">
        <v>51</v>
      </c>
      <c r="C8" s="164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6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6" s="10" customFormat="1" ht="20.100000000000001" customHeight="1" x14ac:dyDescent="0.3">
      <c r="A9" s="26" t="s">
        <v>147</v>
      </c>
      <c r="B9" s="70">
        <v>37</v>
      </c>
      <c r="C9" s="164">
        <v>55</v>
      </c>
      <c r="D9" s="165">
        <v>34</v>
      </c>
      <c r="E9" s="165">
        <v>50</v>
      </c>
      <c r="F9" s="165">
        <v>54</v>
      </c>
      <c r="G9" s="165">
        <v>32</v>
      </c>
      <c r="H9" s="165"/>
      <c r="I9" s="165">
        <v>33</v>
      </c>
      <c r="J9" s="165"/>
      <c r="K9" s="165"/>
      <c r="L9" s="165"/>
      <c r="M9" s="165"/>
      <c r="N9" s="165"/>
      <c r="O9" s="166"/>
      <c r="P9" s="13">
        <f t="shared" si="2"/>
        <v>258</v>
      </c>
      <c r="Q9" s="11">
        <f t="shared" si="3"/>
        <v>6</v>
      </c>
      <c r="R9" s="11">
        <f t="shared" si="4"/>
        <v>43</v>
      </c>
      <c r="S9" s="12">
        <f t="shared" si="5"/>
        <v>116.21621621621621</v>
      </c>
      <c r="T9" s="70">
        <v>37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258</v>
      </c>
      <c r="AM9" s="95">
        <f t="shared" si="10"/>
        <v>6</v>
      </c>
      <c r="AN9" s="11">
        <f t="shared" si="11"/>
        <v>43</v>
      </c>
      <c r="AO9" s="228">
        <f t="shared" si="12"/>
        <v>116.21621621621621</v>
      </c>
    </row>
    <row r="10" spans="1:46" s="10" customFormat="1" ht="20.100000000000001" customHeight="1" x14ac:dyDescent="0.3">
      <c r="A10" s="26" t="s">
        <v>148</v>
      </c>
      <c r="B10" s="70">
        <v>20</v>
      </c>
      <c r="C10" s="164"/>
      <c r="D10" s="165"/>
      <c r="E10" s="165"/>
      <c r="F10" s="165"/>
      <c r="G10" s="165">
        <v>22</v>
      </c>
      <c r="H10" s="165"/>
      <c r="I10" s="165">
        <v>40</v>
      </c>
      <c r="J10" s="165">
        <v>27</v>
      </c>
      <c r="K10" s="165"/>
      <c r="L10" s="165"/>
      <c r="M10" s="165"/>
      <c r="N10" s="165"/>
      <c r="O10" s="166"/>
      <c r="P10" s="13">
        <f t="shared" si="2"/>
        <v>89</v>
      </c>
      <c r="Q10" s="11">
        <f t="shared" si="3"/>
        <v>3</v>
      </c>
      <c r="R10" s="11">
        <f t="shared" si="4"/>
        <v>29.666666666666668</v>
      </c>
      <c r="S10" s="12">
        <f t="shared" si="5"/>
        <v>148.33333333333334</v>
      </c>
      <c r="T10" s="70">
        <v>20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89</v>
      </c>
      <c r="AM10" s="95">
        <f t="shared" si="10"/>
        <v>3</v>
      </c>
      <c r="AN10" s="11">
        <f t="shared" si="11"/>
        <v>29.666666666666668</v>
      </c>
      <c r="AO10" s="12">
        <f t="shared" si="12"/>
        <v>148.33333333333334</v>
      </c>
    </row>
    <row r="11" spans="1:46" s="10" customFormat="1" ht="20.100000000000001" customHeight="1" x14ac:dyDescent="0.3">
      <c r="A11" s="26" t="s">
        <v>149</v>
      </c>
      <c r="B11" s="70">
        <v>22</v>
      </c>
      <c r="C11" s="164"/>
      <c r="D11" s="165">
        <v>30</v>
      </c>
      <c r="E11" s="165">
        <v>23</v>
      </c>
      <c r="F11" s="165"/>
      <c r="G11" s="165"/>
      <c r="H11" s="165">
        <v>28</v>
      </c>
      <c r="I11" s="165">
        <v>26</v>
      </c>
      <c r="J11" s="165">
        <v>26</v>
      </c>
      <c r="K11" s="165"/>
      <c r="L11" s="165"/>
      <c r="M11" s="165"/>
      <c r="N11" s="165"/>
      <c r="O11" s="166"/>
      <c r="P11" s="13">
        <f t="shared" si="2"/>
        <v>133</v>
      </c>
      <c r="Q11" s="11">
        <f t="shared" si="3"/>
        <v>5</v>
      </c>
      <c r="R11" s="11">
        <f t="shared" si="4"/>
        <v>26.6</v>
      </c>
      <c r="S11" s="12">
        <f t="shared" si="5"/>
        <v>120.90909090909091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133</v>
      </c>
      <c r="AM11" s="95">
        <f t="shared" si="10"/>
        <v>5</v>
      </c>
      <c r="AN11" s="11">
        <f t="shared" si="11"/>
        <v>26.6</v>
      </c>
      <c r="AO11" s="12">
        <f t="shared" si="12"/>
        <v>120.90909090909091</v>
      </c>
    </row>
    <row r="12" spans="1:46" s="10" customFormat="1" ht="20.100000000000001" customHeight="1" x14ac:dyDescent="0.3">
      <c r="A12" s="69" t="s">
        <v>150</v>
      </c>
      <c r="B12" s="70">
        <v>64</v>
      </c>
      <c r="C12" s="164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6" s="10" customFormat="1" ht="20.100000000000001" customHeight="1" x14ac:dyDescent="0.3">
      <c r="A13" s="26" t="s">
        <v>151</v>
      </c>
      <c r="B13" s="70">
        <v>24</v>
      </c>
      <c r="C13" s="164">
        <v>35</v>
      </c>
      <c r="D13" s="165"/>
      <c r="E13" s="165">
        <v>30</v>
      </c>
      <c r="F13" s="165">
        <v>19</v>
      </c>
      <c r="G13" s="165"/>
      <c r="H13" s="165">
        <v>28</v>
      </c>
      <c r="I13" s="165"/>
      <c r="J13" s="165">
        <v>18</v>
      </c>
      <c r="K13" s="165"/>
      <c r="L13" s="165"/>
      <c r="M13" s="165"/>
      <c r="N13" s="165"/>
      <c r="O13" s="166"/>
      <c r="P13" s="13">
        <f t="shared" si="2"/>
        <v>130</v>
      </c>
      <c r="Q13" s="11">
        <f t="shared" si="3"/>
        <v>5</v>
      </c>
      <c r="R13" s="11">
        <f t="shared" si="4"/>
        <v>26</v>
      </c>
      <c r="S13" s="12">
        <f t="shared" si="5"/>
        <v>108.33333333333333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130</v>
      </c>
      <c r="AM13" s="95">
        <f t="shared" si="10"/>
        <v>5</v>
      </c>
      <c r="AN13" s="11">
        <f t="shared" si="11"/>
        <v>26</v>
      </c>
      <c r="AO13" s="12">
        <f t="shared" si="12"/>
        <v>108.33333333333333</v>
      </c>
    </row>
    <row r="14" spans="1:46" s="10" customFormat="1" ht="20.100000000000001" customHeight="1" x14ac:dyDescent="0.3">
      <c r="A14" s="26" t="s">
        <v>152</v>
      </c>
      <c r="B14" s="70">
        <v>22</v>
      </c>
      <c r="C14" s="164"/>
      <c r="D14" s="165"/>
      <c r="E14" s="165"/>
      <c r="F14" s="165"/>
      <c r="G14" s="165"/>
      <c r="H14" s="165"/>
      <c r="I14" s="165">
        <v>32</v>
      </c>
      <c r="J14" s="165">
        <v>16</v>
      </c>
      <c r="K14" s="165"/>
      <c r="L14" s="165"/>
      <c r="M14" s="165"/>
      <c r="N14" s="165"/>
      <c r="O14" s="166"/>
      <c r="P14" s="13">
        <f t="shared" si="2"/>
        <v>48</v>
      </c>
      <c r="Q14" s="11">
        <f t="shared" si="3"/>
        <v>2</v>
      </c>
      <c r="R14" s="11">
        <f t="shared" si="4"/>
        <v>24</v>
      </c>
      <c r="S14" s="12">
        <f t="shared" si="5"/>
        <v>109.09090909090908</v>
      </c>
      <c r="T14" s="70">
        <v>22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48</v>
      </c>
      <c r="AM14" s="95">
        <f t="shared" si="10"/>
        <v>2</v>
      </c>
      <c r="AN14" s="11">
        <f t="shared" si="11"/>
        <v>24</v>
      </c>
      <c r="AO14" s="12">
        <f t="shared" si="12"/>
        <v>109.09090909090908</v>
      </c>
    </row>
    <row r="15" spans="1:46" s="10" customFormat="1" ht="20.100000000000001" customHeight="1" x14ac:dyDescent="0.3">
      <c r="A15" s="26" t="s">
        <v>314</v>
      </c>
      <c r="B15" s="70">
        <v>23</v>
      </c>
      <c r="C15" s="164">
        <v>17</v>
      </c>
      <c r="D15" s="165"/>
      <c r="E15" s="165">
        <v>22</v>
      </c>
      <c r="F15" s="165">
        <v>20</v>
      </c>
      <c r="G15" s="165">
        <v>32</v>
      </c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91</v>
      </c>
      <c r="Q15" s="11">
        <f t="shared" si="3"/>
        <v>4</v>
      </c>
      <c r="R15" s="11">
        <f t="shared" si="4"/>
        <v>22.75</v>
      </c>
      <c r="S15" s="12">
        <f t="shared" si="5"/>
        <v>98.91304347826086</v>
      </c>
      <c r="T15" s="70">
        <v>23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91</v>
      </c>
      <c r="AM15" s="95">
        <f t="shared" si="10"/>
        <v>4</v>
      </c>
      <c r="AN15" s="11">
        <f t="shared" si="11"/>
        <v>22.75</v>
      </c>
      <c r="AO15" s="12">
        <f t="shared" si="12"/>
        <v>98.91304347826086</v>
      </c>
    </row>
    <row r="16" spans="1:46" s="10" customFormat="1" ht="20.100000000000001" customHeight="1" x14ac:dyDescent="0.3">
      <c r="A16" s="26" t="s">
        <v>127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60">
        <f>COUNT(B2:B18)</f>
        <v>15</v>
      </c>
      <c r="B19" s="181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1679</v>
      </c>
      <c r="Q19" s="19">
        <f t="shared" si="14"/>
        <v>48</v>
      </c>
      <c r="R19" s="19">
        <f>P19/Q19</f>
        <v>34.979166666666664</v>
      </c>
      <c r="S19" s="22"/>
      <c r="T19" s="180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1679</v>
      </c>
      <c r="AM19" s="18">
        <f>SUM(AM4:AM15)</f>
        <v>48</v>
      </c>
      <c r="AN19" s="18">
        <f t="shared" ref="AN19" si="17">AL19/AM19</f>
        <v>34.979166666666664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topLeftCell="A2" zoomScale="115" zoomScaleNormal="115" workbookViewId="0">
      <selection activeCell="A10" sqref="A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30</v>
      </c>
      <c r="B2" s="299" t="s">
        <v>42</v>
      </c>
      <c r="C2" s="301" t="s">
        <v>153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77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154</v>
      </c>
      <c r="B4" s="137">
        <v>19</v>
      </c>
      <c r="C4" s="161">
        <v>31</v>
      </c>
      <c r="D4" s="162"/>
      <c r="E4" s="162"/>
      <c r="F4" s="162">
        <v>15</v>
      </c>
      <c r="G4" s="162">
        <v>16</v>
      </c>
      <c r="H4" s="162"/>
      <c r="I4" s="162">
        <v>22</v>
      </c>
      <c r="J4" s="162">
        <v>24</v>
      </c>
      <c r="K4" s="162"/>
      <c r="L4" s="162"/>
      <c r="M4" s="162"/>
      <c r="N4" s="162"/>
      <c r="O4" s="163"/>
      <c r="P4" s="9">
        <f>SUM(C4:O4)</f>
        <v>108</v>
      </c>
      <c r="Q4" s="8">
        <f>COUNTIF(C4:O4,"&gt;0")</f>
        <v>5</v>
      </c>
      <c r="R4" s="8">
        <f>IF(P4=0," ",P4/Q4)</f>
        <v>21.6</v>
      </c>
      <c r="S4" s="94">
        <f t="shared" ref="S4" si="0">IF(P4=0," ",P4/(Q4*T4)*100)</f>
        <v>113.68421052631578</v>
      </c>
      <c r="T4" s="70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108</v>
      </c>
      <c r="AM4" s="123">
        <f t="shared" ref="AM4" si="2">Q4+AI4</f>
        <v>5</v>
      </c>
      <c r="AN4" s="8">
        <f>IF(AL4=0," ",AL4/AM4)</f>
        <v>21.6</v>
      </c>
      <c r="AO4" s="94">
        <f>IF(AL4=0," ",AL4/(AM4*T4)*100)</f>
        <v>113.68421052631578</v>
      </c>
    </row>
    <row r="5" spans="1:41" s="10" customFormat="1" ht="20.100000000000001" customHeight="1" x14ac:dyDescent="0.3">
      <c r="A5" s="26" t="s">
        <v>315</v>
      </c>
      <c r="B5" s="70">
        <v>18</v>
      </c>
      <c r="C5" s="164">
        <v>22</v>
      </c>
      <c r="D5" s="165"/>
      <c r="E5" s="165">
        <v>14</v>
      </c>
      <c r="F5" s="165">
        <v>9</v>
      </c>
      <c r="G5" s="165">
        <v>11</v>
      </c>
      <c r="H5" s="165">
        <v>16</v>
      </c>
      <c r="I5" s="165">
        <v>9</v>
      </c>
      <c r="J5" s="165">
        <v>12</v>
      </c>
      <c r="K5" s="165"/>
      <c r="L5" s="165"/>
      <c r="M5" s="165"/>
      <c r="N5" s="165"/>
      <c r="O5" s="166"/>
      <c r="P5" s="13">
        <f t="shared" ref="P5:P18" si="3">SUM(C5:O5)</f>
        <v>93</v>
      </c>
      <c r="Q5" s="11">
        <f t="shared" ref="Q5:Q18" si="4">COUNTIF(C5:O5,"&gt;0")</f>
        <v>7</v>
      </c>
      <c r="R5" s="11">
        <f t="shared" ref="R5:R18" si="5">IF(P5=0," ",P5/Q5)</f>
        <v>13.285714285714286</v>
      </c>
      <c r="S5" s="12">
        <f t="shared" ref="S5:S18" si="6">IF(P5=0," ",P5/(Q5*T5)*100)</f>
        <v>73.80952380952381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93</v>
      </c>
      <c r="AM5" s="95">
        <f t="shared" ref="AM5:AM18" si="11">Q5+AI5</f>
        <v>7</v>
      </c>
      <c r="AN5" s="11">
        <f t="shared" ref="AN5:AN18" si="12">IF(AL5=0," ",AL5/AM5)</f>
        <v>13.285714285714286</v>
      </c>
      <c r="AO5" s="12">
        <f t="shared" ref="AO5:AO18" si="13">IF(AL5=0," ",AL5/(AM5*T5)*100)</f>
        <v>73.80952380952381</v>
      </c>
    </row>
    <row r="6" spans="1:41" s="10" customFormat="1" ht="20.100000000000001" customHeight="1" x14ac:dyDescent="0.3">
      <c r="A6" s="69" t="s">
        <v>366</v>
      </c>
      <c r="B6" s="70">
        <v>68</v>
      </c>
      <c r="C6" s="164">
        <v>73</v>
      </c>
      <c r="D6" s="165">
        <v>48</v>
      </c>
      <c r="E6" s="165">
        <v>66</v>
      </c>
      <c r="F6" s="165">
        <v>42</v>
      </c>
      <c r="G6" s="165"/>
      <c r="H6" s="165"/>
      <c r="I6" s="165"/>
      <c r="J6" s="165">
        <v>53</v>
      </c>
      <c r="K6" s="165"/>
      <c r="L6" s="165"/>
      <c r="M6" s="165"/>
      <c r="N6" s="165"/>
      <c r="O6" s="166"/>
      <c r="P6" s="13">
        <f t="shared" si="3"/>
        <v>282</v>
      </c>
      <c r="Q6" s="11">
        <f t="shared" si="4"/>
        <v>5</v>
      </c>
      <c r="R6" s="11">
        <f t="shared" si="5"/>
        <v>56.4</v>
      </c>
      <c r="S6" s="12">
        <f t="shared" si="6"/>
        <v>82.941176470588246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282</v>
      </c>
      <c r="AM6" s="95">
        <f t="shared" si="11"/>
        <v>5</v>
      </c>
      <c r="AN6" s="11">
        <f t="shared" si="12"/>
        <v>56.4</v>
      </c>
      <c r="AO6" s="12">
        <f t="shared" si="13"/>
        <v>82.941176470588246</v>
      </c>
    </row>
    <row r="7" spans="1:41" s="10" customFormat="1" ht="20.100000000000001" customHeight="1" x14ac:dyDescent="0.3">
      <c r="A7" s="26" t="s">
        <v>155</v>
      </c>
      <c r="B7" s="70">
        <v>24</v>
      </c>
      <c r="C7" s="164">
        <v>35</v>
      </c>
      <c r="D7" s="165">
        <v>28</v>
      </c>
      <c r="E7" s="165"/>
      <c r="F7" s="165"/>
      <c r="G7" s="165"/>
      <c r="H7" s="165">
        <v>21</v>
      </c>
      <c r="I7" s="165">
        <v>35</v>
      </c>
      <c r="J7" s="165"/>
      <c r="K7" s="165"/>
      <c r="L7" s="165"/>
      <c r="M7" s="165"/>
      <c r="N7" s="165"/>
      <c r="O7" s="166"/>
      <c r="P7" s="13">
        <f t="shared" si="3"/>
        <v>119</v>
      </c>
      <c r="Q7" s="11">
        <f t="shared" si="4"/>
        <v>4</v>
      </c>
      <c r="R7" s="11">
        <f t="shared" si="5"/>
        <v>29.75</v>
      </c>
      <c r="S7" s="12">
        <f t="shared" si="6"/>
        <v>123.95833333333333</v>
      </c>
      <c r="T7" s="70">
        <v>24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119</v>
      </c>
      <c r="AM7" s="95">
        <f t="shared" si="11"/>
        <v>4</v>
      </c>
      <c r="AN7" s="11">
        <f t="shared" si="12"/>
        <v>29.75</v>
      </c>
      <c r="AO7" s="12">
        <f t="shared" si="13"/>
        <v>123.95833333333333</v>
      </c>
    </row>
    <row r="8" spans="1:41" s="10" customFormat="1" ht="20.100000000000001" customHeight="1" x14ac:dyDescent="0.3">
      <c r="A8" s="26" t="s">
        <v>316</v>
      </c>
      <c r="B8" s="70">
        <v>33</v>
      </c>
      <c r="C8" s="164"/>
      <c r="D8" s="165">
        <v>30</v>
      </c>
      <c r="E8" s="165">
        <v>27</v>
      </c>
      <c r="F8" s="165"/>
      <c r="G8" s="165">
        <v>40</v>
      </c>
      <c r="H8" s="165">
        <v>30</v>
      </c>
      <c r="I8" s="165"/>
      <c r="J8" s="165"/>
      <c r="K8" s="165"/>
      <c r="L8" s="165"/>
      <c r="M8" s="165"/>
      <c r="N8" s="165"/>
      <c r="O8" s="166"/>
      <c r="P8" s="13">
        <f t="shared" si="3"/>
        <v>127</v>
      </c>
      <c r="Q8" s="11">
        <f t="shared" si="4"/>
        <v>4</v>
      </c>
      <c r="R8" s="11">
        <f t="shared" si="5"/>
        <v>31.75</v>
      </c>
      <c r="S8" s="12">
        <f t="shared" si="6"/>
        <v>96.212121212121218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127</v>
      </c>
      <c r="AM8" s="95">
        <f t="shared" si="11"/>
        <v>4</v>
      </c>
      <c r="AN8" s="11">
        <f t="shared" si="12"/>
        <v>31.75</v>
      </c>
      <c r="AO8" s="12">
        <f t="shared" si="13"/>
        <v>96.212121212121218</v>
      </c>
    </row>
    <row r="9" spans="1:41" s="10" customFormat="1" ht="20.100000000000001" customHeight="1" x14ac:dyDescent="0.3">
      <c r="A9" s="26" t="s">
        <v>156</v>
      </c>
      <c r="B9" s="70">
        <v>21</v>
      </c>
      <c r="C9" s="164">
        <v>30</v>
      </c>
      <c r="D9" s="165"/>
      <c r="E9" s="165">
        <v>20</v>
      </c>
      <c r="F9" s="165"/>
      <c r="G9" s="165">
        <v>19</v>
      </c>
      <c r="H9" s="165"/>
      <c r="I9" s="165">
        <v>19</v>
      </c>
      <c r="J9" s="165">
        <v>29</v>
      </c>
      <c r="K9" s="165"/>
      <c r="L9" s="165"/>
      <c r="M9" s="165"/>
      <c r="N9" s="165"/>
      <c r="O9" s="166"/>
      <c r="P9" s="13">
        <f t="shared" si="3"/>
        <v>117</v>
      </c>
      <c r="Q9" s="11">
        <f t="shared" si="4"/>
        <v>5</v>
      </c>
      <c r="R9" s="11">
        <f t="shared" si="5"/>
        <v>23.4</v>
      </c>
      <c r="S9" s="12">
        <f t="shared" si="6"/>
        <v>111.42857142857143</v>
      </c>
      <c r="T9" s="70">
        <v>21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117</v>
      </c>
      <c r="AM9" s="95">
        <f t="shared" si="11"/>
        <v>5</v>
      </c>
      <c r="AN9" s="11">
        <f t="shared" si="12"/>
        <v>23.4</v>
      </c>
      <c r="AO9" s="12">
        <f t="shared" si="13"/>
        <v>111.42857142857143</v>
      </c>
    </row>
    <row r="10" spans="1:41" s="10" customFormat="1" ht="20.100000000000001" customHeight="1" x14ac:dyDescent="0.3">
      <c r="A10" s="69" t="s">
        <v>157</v>
      </c>
      <c r="B10" s="70">
        <v>23</v>
      </c>
      <c r="C10" s="164">
        <v>35</v>
      </c>
      <c r="D10" s="165">
        <v>31</v>
      </c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4"/>
      <c r="D11" s="165">
        <v>15</v>
      </c>
      <c r="E11" s="165">
        <v>13</v>
      </c>
      <c r="F11" s="165">
        <v>22</v>
      </c>
      <c r="G11" s="165">
        <v>28</v>
      </c>
      <c r="H11" s="165">
        <v>23</v>
      </c>
      <c r="I11" s="165"/>
      <c r="J11" s="165"/>
      <c r="K11" s="165"/>
      <c r="L11" s="165"/>
      <c r="M11" s="165"/>
      <c r="N11" s="165"/>
      <c r="O11" s="166"/>
      <c r="P11" s="13">
        <f t="shared" si="3"/>
        <v>101</v>
      </c>
      <c r="Q11" s="11">
        <f t="shared" si="4"/>
        <v>5</v>
      </c>
      <c r="R11" s="11">
        <f t="shared" si="5"/>
        <v>20.2</v>
      </c>
      <c r="S11" s="12">
        <f t="shared" si="6"/>
        <v>74.81481481481481</v>
      </c>
      <c r="T11" s="70">
        <v>27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101</v>
      </c>
      <c r="AM11" s="95">
        <f t="shared" si="11"/>
        <v>5</v>
      </c>
      <c r="AN11" s="11">
        <f t="shared" si="12"/>
        <v>20.2</v>
      </c>
      <c r="AO11" s="12">
        <f t="shared" si="13"/>
        <v>74.81481481481481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4"/>
      <c r="D12" s="165"/>
      <c r="E12" s="165">
        <v>46</v>
      </c>
      <c r="F12" s="165">
        <v>27</v>
      </c>
      <c r="G12" s="165">
        <v>25</v>
      </c>
      <c r="H12" s="165">
        <v>25</v>
      </c>
      <c r="I12" s="165">
        <v>53</v>
      </c>
      <c r="J12" s="165">
        <v>23</v>
      </c>
      <c r="K12" s="165"/>
      <c r="L12" s="165"/>
      <c r="M12" s="165"/>
      <c r="N12" s="165"/>
      <c r="O12" s="166"/>
      <c r="P12" s="13">
        <f t="shared" si="3"/>
        <v>199</v>
      </c>
      <c r="Q12" s="11">
        <f t="shared" si="4"/>
        <v>6</v>
      </c>
      <c r="R12" s="11">
        <f t="shared" si="5"/>
        <v>33.166666666666664</v>
      </c>
      <c r="S12" s="12">
        <f t="shared" si="6"/>
        <v>97.549019607843135</v>
      </c>
      <c r="T12" s="70">
        <v>34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199</v>
      </c>
      <c r="AM12" s="95">
        <f t="shared" si="11"/>
        <v>6</v>
      </c>
      <c r="AN12" s="11">
        <f t="shared" si="12"/>
        <v>33.166666666666664</v>
      </c>
      <c r="AO12" s="12">
        <f t="shared" si="13"/>
        <v>97.549019607843135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4"/>
      <c r="D13" s="165">
        <v>26</v>
      </c>
      <c r="E13" s="165"/>
      <c r="F13" s="165">
        <v>25</v>
      </c>
      <c r="G13" s="165"/>
      <c r="H13" s="165">
        <v>24</v>
      </c>
      <c r="I13" s="165">
        <v>31</v>
      </c>
      <c r="J13" s="165">
        <v>31</v>
      </c>
      <c r="K13" s="165"/>
      <c r="L13" s="165"/>
      <c r="M13" s="165"/>
      <c r="N13" s="165"/>
      <c r="O13" s="166"/>
      <c r="P13" s="13">
        <f t="shared" si="3"/>
        <v>137</v>
      </c>
      <c r="Q13" s="11">
        <f t="shared" si="4"/>
        <v>5</v>
      </c>
      <c r="R13" s="11">
        <f t="shared" si="5"/>
        <v>27.4</v>
      </c>
      <c r="S13" s="12">
        <f t="shared" si="6"/>
        <v>78.285714285714278</v>
      </c>
      <c r="T13" s="70">
        <v>35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137</v>
      </c>
      <c r="AM13" s="95">
        <f t="shared" si="11"/>
        <v>5</v>
      </c>
      <c r="AN13" s="11">
        <f t="shared" si="12"/>
        <v>27.4</v>
      </c>
      <c r="AO13" s="12">
        <f t="shared" si="13"/>
        <v>78.285714285714278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COUNT(B4:B18)</f>
        <v>15</v>
      </c>
      <c r="B19" s="181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0</v>
      </c>
      <c r="L19" s="19">
        <f t="shared" si="16"/>
        <v>0</v>
      </c>
      <c r="M19" s="19">
        <f t="shared" si="16"/>
        <v>0</v>
      </c>
      <c r="N19" s="19">
        <f t="shared" si="16"/>
        <v>0</v>
      </c>
      <c r="O19" s="19">
        <f>SUM(O4:O18)</f>
        <v>0</v>
      </c>
      <c r="P19" s="19">
        <f>SUM(P4:P18)</f>
        <v>1349</v>
      </c>
      <c r="Q19" s="19">
        <f>SUM(Q4:Q18)</f>
        <v>48</v>
      </c>
      <c r="R19" s="19">
        <f>SUM(R4:R18)</f>
        <v>289.95238095238091</v>
      </c>
      <c r="S19" s="22"/>
      <c r="T19" s="180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1349</v>
      </c>
      <c r="AM19" s="18">
        <f>SUM(AM4:AM18)</f>
        <v>48</v>
      </c>
      <c r="AN19" s="18">
        <f t="shared" ref="AN19" si="18">AL19/AM19</f>
        <v>28.104166666666668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zoomScale="85" zoomScaleNormal="85" workbookViewId="0">
      <selection activeCell="J6" sqref="J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73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31</v>
      </c>
      <c r="B2" s="299" t="s">
        <v>42</v>
      </c>
      <c r="C2" s="301" t="s">
        <v>43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161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88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299</v>
      </c>
      <c r="B4" s="137">
        <v>15</v>
      </c>
      <c r="C4" s="161"/>
      <c r="D4" s="162">
        <v>16</v>
      </c>
      <c r="E4" s="162"/>
      <c r="F4" s="162">
        <v>20</v>
      </c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2</v>
      </c>
      <c r="R4" s="8">
        <f>IF(P4=0," ",P4/Q4)</f>
        <v>18</v>
      </c>
      <c r="S4" s="94">
        <f t="shared" ref="S4" si="0">IF(P4=0," ",P4/(Q4*T4)*100)</f>
        <v>120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36</v>
      </c>
      <c r="AM4" s="123">
        <f>Q4+AI4</f>
        <v>2</v>
      </c>
      <c r="AN4" s="8">
        <f>IF(AL4=0," ",AL4/AM4)</f>
        <v>18</v>
      </c>
      <c r="AO4" s="94">
        <f>IF(AL4=0," ",AL4/(AM4*T4)*100)</f>
        <v>120</v>
      </c>
    </row>
    <row r="5" spans="1:41" s="10" customFormat="1" ht="20.100000000000001" customHeight="1" x14ac:dyDescent="0.3">
      <c r="A5" s="26" t="s">
        <v>300</v>
      </c>
      <c r="B5" s="70">
        <v>59</v>
      </c>
      <c r="C5" s="164"/>
      <c r="D5" s="165">
        <v>60</v>
      </c>
      <c r="E5" s="165"/>
      <c r="F5" s="165"/>
      <c r="G5" s="165">
        <v>58</v>
      </c>
      <c r="H5" s="165">
        <v>57</v>
      </c>
      <c r="I5" s="165"/>
      <c r="J5" s="165">
        <v>47</v>
      </c>
      <c r="K5" s="165"/>
      <c r="L5" s="165"/>
      <c r="M5" s="165"/>
      <c r="N5" s="165"/>
      <c r="O5" s="166"/>
      <c r="P5" s="13">
        <f t="shared" ref="P5:P18" si="1">SUM(C5:O5)</f>
        <v>222</v>
      </c>
      <c r="Q5" s="11">
        <f t="shared" ref="Q5:Q18" si="2">COUNTIF(C5:O5,"&gt;0")</f>
        <v>4</v>
      </c>
      <c r="R5" s="11">
        <f t="shared" ref="R5:R18" si="3">IF(P5=0," ",P5/Q5)</f>
        <v>55.5</v>
      </c>
      <c r="S5" s="12">
        <f t="shared" ref="S5:S18" si="4">IF(P5=0," ",P5/(Q5*T5)*100)</f>
        <v>94.067796610169495</v>
      </c>
      <c r="T5" s="70">
        <v>59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222</v>
      </c>
      <c r="AM5" s="95">
        <f t="shared" ref="AM5:AM18" si="9">Q5+AI5</f>
        <v>4</v>
      </c>
      <c r="AN5" s="11">
        <f t="shared" ref="AN5:AN18" si="10">IF(AL5=0," ",AL5/AM5)</f>
        <v>55.5</v>
      </c>
      <c r="AO5" s="12">
        <f t="shared" ref="AO5:AO18" si="11">IF(AL5=0," ",AL5/(AM5*T5)*100)</f>
        <v>94.067796610169495</v>
      </c>
    </row>
    <row r="6" spans="1:41" s="10" customFormat="1" ht="20.100000000000001" customHeight="1" x14ac:dyDescent="0.3">
      <c r="A6" s="26" t="s">
        <v>301</v>
      </c>
      <c r="B6" s="70">
        <v>25</v>
      </c>
      <c r="C6" s="164">
        <v>28</v>
      </c>
      <c r="D6" s="165"/>
      <c r="E6" s="165">
        <v>31</v>
      </c>
      <c r="F6" s="165">
        <v>40</v>
      </c>
      <c r="G6" s="165">
        <v>36</v>
      </c>
      <c r="H6" s="165">
        <v>20</v>
      </c>
      <c r="I6" s="165">
        <v>30</v>
      </c>
      <c r="J6" s="165"/>
      <c r="K6" s="165"/>
      <c r="L6" s="165"/>
      <c r="M6" s="165"/>
      <c r="N6" s="165"/>
      <c r="O6" s="166"/>
      <c r="P6" s="13">
        <f t="shared" si="1"/>
        <v>185</v>
      </c>
      <c r="Q6" s="11">
        <f t="shared" si="2"/>
        <v>6</v>
      </c>
      <c r="R6" s="11">
        <f t="shared" si="3"/>
        <v>30.833333333333332</v>
      </c>
      <c r="S6" s="12">
        <f t="shared" si="4"/>
        <v>123.33333333333334</v>
      </c>
      <c r="T6" s="70">
        <v>25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185</v>
      </c>
      <c r="AM6" s="95">
        <f t="shared" si="9"/>
        <v>6</v>
      </c>
      <c r="AN6" s="11">
        <f t="shared" si="10"/>
        <v>30.833333333333332</v>
      </c>
      <c r="AO6" s="12">
        <f t="shared" si="11"/>
        <v>123.33333333333334</v>
      </c>
    </row>
    <row r="7" spans="1:41" s="10" customFormat="1" ht="20.100000000000001" customHeight="1" x14ac:dyDescent="0.3">
      <c r="A7" s="26" t="s">
        <v>302</v>
      </c>
      <c r="B7" s="70">
        <v>31</v>
      </c>
      <c r="C7" s="164">
        <v>31</v>
      </c>
      <c r="D7" s="165"/>
      <c r="E7" s="165">
        <v>43</v>
      </c>
      <c r="F7" s="165"/>
      <c r="G7" s="165">
        <v>40</v>
      </c>
      <c r="H7" s="165">
        <v>20</v>
      </c>
      <c r="I7" s="165">
        <v>31</v>
      </c>
      <c r="J7" s="165"/>
      <c r="K7" s="165"/>
      <c r="L7" s="165"/>
      <c r="M7" s="165"/>
      <c r="N7" s="165"/>
      <c r="O7" s="166"/>
      <c r="P7" s="13">
        <f t="shared" si="1"/>
        <v>165</v>
      </c>
      <c r="Q7" s="11">
        <f t="shared" si="2"/>
        <v>5</v>
      </c>
      <c r="R7" s="11">
        <f t="shared" si="3"/>
        <v>33</v>
      </c>
      <c r="S7" s="12">
        <f t="shared" si="4"/>
        <v>106.45161290322579</v>
      </c>
      <c r="T7" s="70">
        <v>31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165</v>
      </c>
      <c r="AM7" s="95">
        <f t="shared" si="9"/>
        <v>5</v>
      </c>
      <c r="AN7" s="11">
        <f t="shared" si="10"/>
        <v>33</v>
      </c>
      <c r="AO7" s="12">
        <f t="shared" si="11"/>
        <v>106.45161290322579</v>
      </c>
    </row>
    <row r="8" spans="1:41" s="10" customFormat="1" ht="20.100000000000001" customHeight="1" x14ac:dyDescent="0.3">
      <c r="A8" s="69" t="s">
        <v>162</v>
      </c>
      <c r="B8" s="70">
        <v>40</v>
      </c>
      <c r="C8" s="164"/>
      <c r="D8" s="165">
        <v>32</v>
      </c>
      <c r="E8" s="165">
        <v>47</v>
      </c>
      <c r="F8" s="165"/>
      <c r="G8" s="165">
        <v>34</v>
      </c>
      <c r="H8" s="165">
        <v>56</v>
      </c>
      <c r="I8" s="165"/>
      <c r="J8" s="165">
        <v>45</v>
      </c>
      <c r="K8" s="165"/>
      <c r="L8" s="165"/>
      <c r="M8" s="165"/>
      <c r="N8" s="165"/>
      <c r="O8" s="166"/>
      <c r="P8" s="13">
        <f t="shared" si="1"/>
        <v>214</v>
      </c>
      <c r="Q8" s="11">
        <f t="shared" si="2"/>
        <v>5</v>
      </c>
      <c r="R8" s="11">
        <f t="shared" si="3"/>
        <v>42.8</v>
      </c>
      <c r="S8" s="12">
        <f t="shared" si="4"/>
        <v>107</v>
      </c>
      <c r="T8" s="70">
        <v>40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214</v>
      </c>
      <c r="AM8" s="95">
        <f t="shared" si="9"/>
        <v>5</v>
      </c>
      <c r="AN8" s="11">
        <f t="shared" si="10"/>
        <v>42.8</v>
      </c>
      <c r="AO8" s="12">
        <f t="shared" si="11"/>
        <v>107</v>
      </c>
    </row>
    <row r="9" spans="1:41" s="10" customFormat="1" ht="20.100000000000001" customHeight="1" x14ac:dyDescent="0.3">
      <c r="A9" s="26" t="s">
        <v>303</v>
      </c>
      <c r="B9" s="70">
        <v>34</v>
      </c>
      <c r="C9" s="164">
        <v>27</v>
      </c>
      <c r="D9" s="165"/>
      <c r="E9" s="165"/>
      <c r="F9" s="165">
        <v>20</v>
      </c>
      <c r="G9" s="165"/>
      <c r="H9" s="165"/>
      <c r="I9" s="165">
        <v>29</v>
      </c>
      <c r="J9" s="165">
        <v>26</v>
      </c>
      <c r="K9" s="165"/>
      <c r="L9" s="165"/>
      <c r="M9" s="165"/>
      <c r="N9" s="165"/>
      <c r="O9" s="166"/>
      <c r="P9" s="13">
        <f t="shared" si="1"/>
        <v>102</v>
      </c>
      <c r="Q9" s="11">
        <f t="shared" si="2"/>
        <v>4</v>
      </c>
      <c r="R9" s="11">
        <f t="shared" si="3"/>
        <v>25.5</v>
      </c>
      <c r="S9" s="12">
        <f t="shared" si="4"/>
        <v>75</v>
      </c>
      <c r="T9" s="70">
        <v>34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102</v>
      </c>
      <c r="AM9" s="95">
        <f t="shared" si="9"/>
        <v>4</v>
      </c>
      <c r="AN9" s="11">
        <f t="shared" si="10"/>
        <v>25.5</v>
      </c>
      <c r="AO9" s="12">
        <f t="shared" si="11"/>
        <v>75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4">
        <v>48</v>
      </c>
      <c r="D10" s="165">
        <v>27</v>
      </c>
      <c r="E10" s="165"/>
      <c r="F10" s="165">
        <v>29</v>
      </c>
      <c r="G10" s="165"/>
      <c r="H10" s="165">
        <v>24</v>
      </c>
      <c r="I10" s="165"/>
      <c r="J10" s="165"/>
      <c r="K10" s="165"/>
      <c r="L10" s="165"/>
      <c r="M10" s="165"/>
      <c r="N10" s="165"/>
      <c r="O10" s="166"/>
      <c r="P10" s="13">
        <f t="shared" si="1"/>
        <v>128</v>
      </c>
      <c r="Q10" s="11">
        <f t="shared" si="2"/>
        <v>4</v>
      </c>
      <c r="R10" s="11">
        <f t="shared" si="3"/>
        <v>32</v>
      </c>
      <c r="S10" s="12">
        <f t="shared" si="4"/>
        <v>91.428571428571431</v>
      </c>
      <c r="T10" s="70">
        <v>35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128</v>
      </c>
      <c r="AM10" s="95">
        <f t="shared" si="9"/>
        <v>4</v>
      </c>
      <c r="AN10" s="11">
        <f t="shared" si="10"/>
        <v>32</v>
      </c>
      <c r="AO10" s="12">
        <f t="shared" si="11"/>
        <v>91.428571428571431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4">
        <v>19</v>
      </c>
      <c r="D11" s="165">
        <v>10</v>
      </c>
      <c r="E11" s="165">
        <v>9</v>
      </c>
      <c r="F11" s="165"/>
      <c r="G11" s="165"/>
      <c r="H11" s="165"/>
      <c r="I11" s="165">
        <v>13</v>
      </c>
      <c r="J11" s="165"/>
      <c r="K11" s="165"/>
      <c r="L11" s="165"/>
      <c r="M11" s="165"/>
      <c r="N11" s="165"/>
      <c r="O11" s="166"/>
      <c r="P11" s="13">
        <f t="shared" si="1"/>
        <v>51</v>
      </c>
      <c r="Q11" s="11">
        <f t="shared" si="2"/>
        <v>4</v>
      </c>
      <c r="R11" s="11">
        <f t="shared" si="3"/>
        <v>12.75</v>
      </c>
      <c r="S11" s="12">
        <f t="shared" si="4"/>
        <v>85</v>
      </c>
      <c r="T11" s="70">
        <v>15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51</v>
      </c>
      <c r="AM11" s="95">
        <f t="shared" si="9"/>
        <v>4</v>
      </c>
      <c r="AN11" s="11">
        <f t="shared" si="10"/>
        <v>12.75</v>
      </c>
      <c r="AO11" s="12">
        <f t="shared" si="11"/>
        <v>85</v>
      </c>
    </row>
    <row r="12" spans="1:41" s="10" customFormat="1" ht="20.100000000000001" customHeight="1" x14ac:dyDescent="0.3">
      <c r="A12" s="26" t="s">
        <v>304</v>
      </c>
      <c r="B12" s="70">
        <v>38</v>
      </c>
      <c r="C12" s="164">
        <v>24</v>
      </c>
      <c r="D12" s="165"/>
      <c r="E12" s="165">
        <v>50</v>
      </c>
      <c r="F12" s="165"/>
      <c r="G12" s="165">
        <v>36</v>
      </c>
      <c r="H12" s="165"/>
      <c r="I12" s="165"/>
      <c r="J12" s="165">
        <v>40</v>
      </c>
      <c r="K12" s="165"/>
      <c r="L12" s="165"/>
      <c r="M12" s="165"/>
      <c r="N12" s="165"/>
      <c r="O12" s="166"/>
      <c r="P12" s="13">
        <f t="shared" si="1"/>
        <v>150</v>
      </c>
      <c r="Q12" s="11">
        <f t="shared" si="2"/>
        <v>4</v>
      </c>
      <c r="R12" s="11">
        <f t="shared" si="3"/>
        <v>37.5</v>
      </c>
      <c r="S12" s="12">
        <f t="shared" si="4"/>
        <v>98.68421052631578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150</v>
      </c>
      <c r="AM12" s="95">
        <f t="shared" si="9"/>
        <v>4</v>
      </c>
      <c r="AN12" s="11">
        <f t="shared" si="10"/>
        <v>37.5</v>
      </c>
      <c r="AO12" s="12">
        <f t="shared" si="11"/>
        <v>98.68421052631578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4"/>
      <c r="D13" s="165"/>
      <c r="E13" s="165">
        <v>33</v>
      </c>
      <c r="F13" s="165">
        <v>20</v>
      </c>
      <c r="G13" s="165"/>
      <c r="H13" s="165">
        <v>31</v>
      </c>
      <c r="I13" s="165">
        <v>34</v>
      </c>
      <c r="J13" s="165">
        <v>21</v>
      </c>
      <c r="K13" s="165"/>
      <c r="L13" s="165"/>
      <c r="M13" s="165"/>
      <c r="N13" s="165"/>
      <c r="O13" s="166"/>
      <c r="P13" s="13">
        <f t="shared" si="1"/>
        <v>139</v>
      </c>
      <c r="Q13" s="11">
        <f t="shared" si="2"/>
        <v>5</v>
      </c>
      <c r="R13" s="11">
        <f t="shared" si="3"/>
        <v>27.8</v>
      </c>
      <c r="S13" s="12">
        <f t="shared" si="4"/>
        <v>115.83333333333334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139</v>
      </c>
      <c r="AM13" s="95">
        <f t="shared" si="9"/>
        <v>5</v>
      </c>
      <c r="AN13" s="11">
        <f t="shared" si="10"/>
        <v>27.8</v>
      </c>
      <c r="AO13" s="12">
        <f t="shared" si="11"/>
        <v>115.83333333333334</v>
      </c>
    </row>
    <row r="14" spans="1:41" s="10" customFormat="1" ht="20.100000000000001" customHeight="1" x14ac:dyDescent="0.3">
      <c r="A14" s="26" t="s">
        <v>364</v>
      </c>
      <c r="B14" s="131">
        <v>15</v>
      </c>
      <c r="C14" s="164"/>
      <c r="D14" s="165">
        <v>14</v>
      </c>
      <c r="E14" s="165"/>
      <c r="F14" s="165">
        <v>7</v>
      </c>
      <c r="G14" s="165">
        <v>9</v>
      </c>
      <c r="H14" s="165"/>
      <c r="I14" s="165">
        <v>7</v>
      </c>
      <c r="J14" s="165">
        <v>7</v>
      </c>
      <c r="K14" s="165"/>
      <c r="L14" s="165"/>
      <c r="M14" s="165"/>
      <c r="N14" s="165"/>
      <c r="O14" s="166"/>
      <c r="P14" s="13">
        <f t="shared" si="1"/>
        <v>44</v>
      </c>
      <c r="Q14" s="11">
        <f t="shared" si="2"/>
        <v>5</v>
      </c>
      <c r="R14" s="11">
        <f t="shared" si="3"/>
        <v>8.8000000000000007</v>
      </c>
      <c r="S14" s="12">
        <f t="shared" si="4"/>
        <v>58.666666666666664</v>
      </c>
      <c r="T14" s="131">
        <v>15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44</v>
      </c>
      <c r="AM14" s="95">
        <f t="shared" si="9"/>
        <v>5</v>
      </c>
      <c r="AN14" s="11">
        <f t="shared" si="10"/>
        <v>8.8000000000000007</v>
      </c>
      <c r="AO14" s="12">
        <f t="shared" si="11"/>
        <v>58.666666666666664</v>
      </c>
    </row>
    <row r="15" spans="1:41" s="10" customFormat="1" ht="20.100000000000001" customHeight="1" x14ac:dyDescent="0.3">
      <c r="A15" s="26">
        <v>0</v>
      </c>
      <c r="B15" s="131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1436</v>
      </c>
      <c r="Q19" s="19">
        <f t="shared" si="13"/>
        <v>48</v>
      </c>
      <c r="R19" s="19">
        <f>P19/Q19</f>
        <v>29.916666666666668</v>
      </c>
      <c r="S19" s="22"/>
      <c r="T19" s="180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1436</v>
      </c>
      <c r="AM19" s="18">
        <f>SUM(AM4:AM18)</f>
        <v>48</v>
      </c>
      <c r="AN19" s="18">
        <f t="shared" ref="AN19" si="16">AL19/AM19</f>
        <v>29.916666666666668</v>
      </c>
      <c r="AO19" s="20"/>
    </row>
  </sheetData>
  <mergeCells count="18">
    <mergeCell ref="AL2:AL3"/>
    <mergeCell ref="AM2:AM3"/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zoomScaleNormal="100" workbookViewId="0">
      <selection activeCell="J6" sqref="J6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1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33</v>
      </c>
      <c r="B2" s="299" t="s">
        <v>42</v>
      </c>
      <c r="C2" s="301" t="s">
        <v>166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128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7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292"/>
      <c r="AI3" s="288"/>
      <c r="AJ3" s="288"/>
      <c r="AK3" s="76"/>
      <c r="AL3" s="292"/>
      <c r="AM3" s="288"/>
      <c r="AN3" s="288"/>
      <c r="AO3" s="290"/>
    </row>
    <row r="4" spans="1:41" ht="20.100000000000001" customHeight="1" x14ac:dyDescent="0.3">
      <c r="A4" s="178" t="s">
        <v>167</v>
      </c>
      <c r="B4" s="137">
        <v>17</v>
      </c>
      <c r="C4" s="161"/>
      <c r="D4" s="162">
        <v>14</v>
      </c>
      <c r="E4" s="162"/>
      <c r="F4" s="162">
        <v>13</v>
      </c>
      <c r="G4" s="162"/>
      <c r="H4" s="162">
        <v>9</v>
      </c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70.588235294117652</v>
      </c>
      <c r="T4" s="70">
        <v>17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36</v>
      </c>
      <c r="AM4" s="123">
        <f t="shared" si="1"/>
        <v>3</v>
      </c>
      <c r="AN4" s="8">
        <f>IF(AL4=0," ",AL4/AM4)</f>
        <v>12</v>
      </c>
      <c r="AO4" s="94">
        <f>IF(AL4=0," ",AL4/(AM4*T4)*100)</f>
        <v>70.588235294117652</v>
      </c>
    </row>
    <row r="5" spans="1:41" ht="20.100000000000001" customHeight="1" x14ac:dyDescent="0.3">
      <c r="A5" s="26" t="s">
        <v>168</v>
      </c>
      <c r="B5" s="70">
        <v>38</v>
      </c>
      <c r="C5" s="164">
        <v>25</v>
      </c>
      <c r="D5" s="165"/>
      <c r="E5" s="165"/>
      <c r="F5" s="165">
        <v>43</v>
      </c>
      <c r="G5" s="165"/>
      <c r="H5" s="165"/>
      <c r="I5" s="165"/>
      <c r="J5" s="165">
        <v>57</v>
      </c>
      <c r="K5" s="165"/>
      <c r="L5" s="165"/>
      <c r="M5" s="165"/>
      <c r="N5" s="165"/>
      <c r="O5" s="166"/>
      <c r="P5" s="13">
        <f t="shared" ref="P5:P18" si="2">SUM(C5:O5)</f>
        <v>125</v>
      </c>
      <c r="Q5" s="11">
        <f t="shared" ref="Q5:Q18" si="3">COUNTIF(C5:O5,"&gt;0")</f>
        <v>3</v>
      </c>
      <c r="R5" s="11">
        <f t="shared" ref="R5:R18" si="4">IF(P5=0," ",P5/Q5)</f>
        <v>41.666666666666664</v>
      </c>
      <c r="S5" s="12">
        <f t="shared" ref="S5:S18" si="5">IF(P5=0," ",P5/(Q5*T5)*100)</f>
        <v>109.64912280701755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125</v>
      </c>
      <c r="AM5" s="95">
        <f t="shared" ref="AM5:AM18" si="10">Q5+AI5</f>
        <v>3</v>
      </c>
      <c r="AN5" s="11">
        <f t="shared" ref="AN5:AN18" si="11">IF(AL5=0," ",AL5/AM5)</f>
        <v>41.666666666666664</v>
      </c>
      <c r="AO5" s="12">
        <f t="shared" ref="AO5:AO18" si="12">IF(AL5=0," ",AL5/(AM5*T5)*100)</f>
        <v>109.64912280701755</v>
      </c>
    </row>
    <row r="6" spans="1:41" ht="20.100000000000001" customHeight="1" x14ac:dyDescent="0.3">
      <c r="A6" s="26" t="s">
        <v>345</v>
      </c>
      <c r="B6" s="131">
        <v>54</v>
      </c>
      <c r="C6" s="164">
        <v>59</v>
      </c>
      <c r="D6" s="165">
        <v>47</v>
      </c>
      <c r="E6" s="165">
        <v>56</v>
      </c>
      <c r="F6" s="165"/>
      <c r="G6" s="165">
        <v>87</v>
      </c>
      <c r="H6" s="165"/>
      <c r="I6" s="165">
        <v>79</v>
      </c>
      <c r="J6" s="165">
        <v>37</v>
      </c>
      <c r="K6" s="165"/>
      <c r="L6" s="165"/>
      <c r="M6" s="165"/>
      <c r="N6" s="165"/>
      <c r="O6" s="166"/>
      <c r="P6" s="13">
        <f t="shared" si="2"/>
        <v>365</v>
      </c>
      <c r="Q6" s="11">
        <f t="shared" si="3"/>
        <v>6</v>
      </c>
      <c r="R6" s="11">
        <f t="shared" si="4"/>
        <v>60.833333333333336</v>
      </c>
      <c r="S6" s="12">
        <f t="shared" si="5"/>
        <v>112.65432098765432</v>
      </c>
      <c r="T6" s="131">
        <v>54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365</v>
      </c>
      <c r="AM6" s="95">
        <f t="shared" si="10"/>
        <v>6</v>
      </c>
      <c r="AN6" s="11">
        <f t="shared" si="11"/>
        <v>60.833333333333336</v>
      </c>
      <c r="AO6" s="12">
        <f t="shared" si="12"/>
        <v>112.65432098765432</v>
      </c>
    </row>
    <row r="7" spans="1:41" ht="20.100000000000001" customHeight="1" x14ac:dyDescent="0.3">
      <c r="A7" s="26" t="s">
        <v>169</v>
      </c>
      <c r="B7" s="70">
        <v>15</v>
      </c>
      <c r="C7" s="164"/>
      <c r="D7" s="165"/>
      <c r="E7" s="165"/>
      <c r="F7" s="165">
        <v>10</v>
      </c>
      <c r="G7" s="165"/>
      <c r="H7" s="165">
        <v>24</v>
      </c>
      <c r="I7" s="165"/>
      <c r="J7" s="165">
        <v>10</v>
      </c>
      <c r="K7" s="165"/>
      <c r="L7" s="165"/>
      <c r="M7" s="165"/>
      <c r="N7" s="165"/>
      <c r="O7" s="166"/>
      <c r="P7" s="13">
        <f t="shared" si="2"/>
        <v>44</v>
      </c>
      <c r="Q7" s="11">
        <f t="shared" si="3"/>
        <v>3</v>
      </c>
      <c r="R7" s="11">
        <f t="shared" si="4"/>
        <v>14.666666666666666</v>
      </c>
      <c r="S7" s="12">
        <f t="shared" si="5"/>
        <v>97.777777777777771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44</v>
      </c>
      <c r="AM7" s="95">
        <f t="shared" si="10"/>
        <v>3</v>
      </c>
      <c r="AN7" s="11">
        <f t="shared" si="11"/>
        <v>14.666666666666666</v>
      </c>
      <c r="AO7" s="12">
        <f t="shared" si="12"/>
        <v>97.777777777777771</v>
      </c>
    </row>
    <row r="8" spans="1:41" ht="20.100000000000001" customHeight="1" x14ac:dyDescent="0.3">
      <c r="A8" s="69" t="s">
        <v>170</v>
      </c>
      <c r="B8" s="70">
        <v>32</v>
      </c>
      <c r="C8" s="164"/>
      <c r="D8" s="165">
        <v>23</v>
      </c>
      <c r="E8" s="165">
        <v>31</v>
      </c>
      <c r="F8" s="165"/>
      <c r="G8" s="165"/>
      <c r="H8" s="165">
        <v>34</v>
      </c>
      <c r="I8" s="165">
        <v>56</v>
      </c>
      <c r="J8" s="165">
        <v>35</v>
      </c>
      <c r="K8" s="165"/>
      <c r="L8" s="165"/>
      <c r="M8" s="165"/>
      <c r="N8" s="165"/>
      <c r="O8" s="166"/>
      <c r="P8" s="13">
        <f t="shared" si="2"/>
        <v>179</v>
      </c>
      <c r="Q8" s="11">
        <f t="shared" si="3"/>
        <v>5</v>
      </c>
      <c r="R8" s="11">
        <f t="shared" si="4"/>
        <v>35.799999999999997</v>
      </c>
      <c r="S8" s="12">
        <f t="shared" si="5"/>
        <v>111.87499999999999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179</v>
      </c>
      <c r="AM8" s="95">
        <f t="shared" si="10"/>
        <v>5</v>
      </c>
      <c r="AN8" s="11">
        <f t="shared" si="11"/>
        <v>35.799999999999997</v>
      </c>
      <c r="AO8" s="12">
        <f t="shared" si="12"/>
        <v>111.87499999999999</v>
      </c>
    </row>
    <row r="9" spans="1:41" ht="20.100000000000001" customHeight="1" x14ac:dyDescent="0.3">
      <c r="A9" s="26" t="s">
        <v>171</v>
      </c>
      <c r="B9" s="70">
        <v>19</v>
      </c>
      <c r="C9" s="164">
        <v>29</v>
      </c>
      <c r="D9" s="165">
        <v>19</v>
      </c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48</v>
      </c>
      <c r="Q9" s="11">
        <f t="shared" si="3"/>
        <v>2</v>
      </c>
      <c r="R9" s="11">
        <f t="shared" si="4"/>
        <v>24</v>
      </c>
      <c r="S9" s="12">
        <f t="shared" si="5"/>
        <v>126.31578947368421</v>
      </c>
      <c r="T9" s="70">
        <v>19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48</v>
      </c>
      <c r="AM9" s="95">
        <f t="shared" si="10"/>
        <v>2</v>
      </c>
      <c r="AN9" s="11">
        <f t="shared" si="11"/>
        <v>24</v>
      </c>
      <c r="AO9" s="12">
        <f t="shared" si="12"/>
        <v>126.31578947368421</v>
      </c>
    </row>
    <row r="10" spans="1:41" ht="20.100000000000001" customHeight="1" x14ac:dyDescent="0.3">
      <c r="A10" s="26" t="s">
        <v>172</v>
      </c>
      <c r="B10" s="70">
        <v>21</v>
      </c>
      <c r="C10" s="164">
        <v>17</v>
      </c>
      <c r="D10" s="165"/>
      <c r="E10" s="165">
        <v>22</v>
      </c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39</v>
      </c>
      <c r="Q10" s="11">
        <f t="shared" si="3"/>
        <v>2</v>
      </c>
      <c r="R10" s="11">
        <f t="shared" si="4"/>
        <v>19.5</v>
      </c>
      <c r="S10" s="12">
        <f t="shared" si="5"/>
        <v>92.857142857142861</v>
      </c>
      <c r="T10" s="70">
        <v>21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39</v>
      </c>
      <c r="AM10" s="95">
        <f t="shared" si="10"/>
        <v>2</v>
      </c>
      <c r="AN10" s="11">
        <f t="shared" si="11"/>
        <v>19.5</v>
      </c>
      <c r="AO10" s="12">
        <f t="shared" si="12"/>
        <v>92.857142857142861</v>
      </c>
    </row>
    <row r="11" spans="1:41" ht="20.100000000000001" customHeight="1" x14ac:dyDescent="0.3">
      <c r="A11" s="26" t="s">
        <v>173</v>
      </c>
      <c r="B11" s="70">
        <v>24</v>
      </c>
      <c r="C11" s="164"/>
      <c r="D11" s="165"/>
      <c r="E11" s="165">
        <v>33</v>
      </c>
      <c r="F11" s="165"/>
      <c r="G11" s="165">
        <v>18</v>
      </c>
      <c r="H11" s="165"/>
      <c r="I11" s="165">
        <v>31</v>
      </c>
      <c r="J11" s="165">
        <v>48</v>
      </c>
      <c r="K11" s="165"/>
      <c r="L11" s="165"/>
      <c r="M11" s="165"/>
      <c r="N11" s="165"/>
      <c r="O11" s="166"/>
      <c r="P11" s="13">
        <f t="shared" si="2"/>
        <v>130</v>
      </c>
      <c r="Q11" s="11">
        <f t="shared" si="3"/>
        <v>4</v>
      </c>
      <c r="R11" s="11">
        <f t="shared" si="4"/>
        <v>32.5</v>
      </c>
      <c r="S11" s="12">
        <f t="shared" si="5"/>
        <v>135.41666666666669</v>
      </c>
      <c r="T11" s="70">
        <v>24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130</v>
      </c>
      <c r="AM11" s="95">
        <f t="shared" si="10"/>
        <v>4</v>
      </c>
      <c r="AN11" s="11">
        <f t="shared" si="11"/>
        <v>32.5</v>
      </c>
      <c r="AO11" s="12">
        <f t="shared" si="12"/>
        <v>135.41666666666669</v>
      </c>
    </row>
    <row r="12" spans="1:41" ht="20.100000000000001" customHeight="1" x14ac:dyDescent="0.3">
      <c r="A12" s="26" t="s">
        <v>317</v>
      </c>
      <c r="B12" s="70">
        <v>38</v>
      </c>
      <c r="C12" s="164">
        <v>40</v>
      </c>
      <c r="D12" s="165"/>
      <c r="E12" s="165">
        <v>31</v>
      </c>
      <c r="F12" s="165">
        <v>28</v>
      </c>
      <c r="G12" s="165">
        <v>52</v>
      </c>
      <c r="H12" s="165"/>
      <c r="I12" s="165">
        <v>30</v>
      </c>
      <c r="J12" s="165"/>
      <c r="K12" s="165"/>
      <c r="L12" s="165"/>
      <c r="M12" s="165"/>
      <c r="N12" s="165"/>
      <c r="O12" s="166"/>
      <c r="P12" s="13">
        <f t="shared" si="2"/>
        <v>181</v>
      </c>
      <c r="Q12" s="11">
        <f t="shared" si="3"/>
        <v>5</v>
      </c>
      <c r="R12" s="11">
        <f t="shared" si="4"/>
        <v>36.200000000000003</v>
      </c>
      <c r="S12" s="12">
        <f t="shared" si="5"/>
        <v>95.263157894736835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181</v>
      </c>
      <c r="AM12" s="95">
        <f t="shared" si="10"/>
        <v>5</v>
      </c>
      <c r="AN12" s="11">
        <f t="shared" si="11"/>
        <v>36.200000000000003</v>
      </c>
      <c r="AO12" s="12">
        <f t="shared" si="12"/>
        <v>95.263157894736835</v>
      </c>
    </row>
    <row r="13" spans="1:41" ht="20.100000000000001" customHeight="1" x14ac:dyDescent="0.3">
      <c r="A13" s="26" t="s">
        <v>318</v>
      </c>
      <c r="B13" s="70">
        <v>88</v>
      </c>
      <c r="C13" s="164"/>
      <c r="D13" s="165"/>
      <c r="E13" s="165"/>
      <c r="F13" s="165">
        <v>120</v>
      </c>
      <c r="G13" s="165">
        <v>115</v>
      </c>
      <c r="H13" s="165">
        <v>84</v>
      </c>
      <c r="I13" s="165"/>
      <c r="J13" s="165"/>
      <c r="K13" s="165"/>
      <c r="L13" s="165"/>
      <c r="M13" s="165"/>
      <c r="N13" s="165"/>
      <c r="O13" s="166"/>
      <c r="P13" s="13">
        <f t="shared" si="2"/>
        <v>319</v>
      </c>
      <c r="Q13" s="11">
        <f t="shared" si="3"/>
        <v>3</v>
      </c>
      <c r="R13" s="11">
        <f t="shared" si="4"/>
        <v>106.33333333333333</v>
      </c>
      <c r="S13" s="12">
        <f t="shared" si="5"/>
        <v>120.83333333333333</v>
      </c>
      <c r="T13" s="70">
        <v>88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319</v>
      </c>
      <c r="AM13" s="95">
        <f t="shared" si="10"/>
        <v>3</v>
      </c>
      <c r="AN13" s="11">
        <f t="shared" si="11"/>
        <v>106.33333333333333</v>
      </c>
      <c r="AO13" s="12">
        <f t="shared" si="12"/>
        <v>120.83333333333333</v>
      </c>
    </row>
    <row r="14" spans="1:41" ht="20.100000000000001" customHeight="1" x14ac:dyDescent="0.3">
      <c r="A14" s="26" t="s">
        <v>174</v>
      </c>
      <c r="B14" s="70">
        <v>30</v>
      </c>
      <c r="C14" s="164"/>
      <c r="D14" s="165"/>
      <c r="E14" s="165"/>
      <c r="F14" s="165"/>
      <c r="G14" s="165">
        <v>30</v>
      </c>
      <c r="H14" s="165"/>
      <c r="I14" s="165">
        <v>28</v>
      </c>
      <c r="J14" s="165">
        <v>34</v>
      </c>
      <c r="K14" s="165"/>
      <c r="L14" s="165"/>
      <c r="M14" s="165"/>
      <c r="N14" s="165"/>
      <c r="O14" s="166"/>
      <c r="P14" s="13">
        <f t="shared" si="2"/>
        <v>92</v>
      </c>
      <c r="Q14" s="11">
        <f t="shared" si="3"/>
        <v>3</v>
      </c>
      <c r="R14" s="11">
        <f t="shared" si="4"/>
        <v>30.666666666666668</v>
      </c>
      <c r="S14" s="12">
        <f t="shared" si="5"/>
        <v>102.22222222222221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92</v>
      </c>
      <c r="AM14" s="95">
        <f t="shared" si="10"/>
        <v>3</v>
      </c>
      <c r="AN14" s="11">
        <f t="shared" si="11"/>
        <v>30.666666666666668</v>
      </c>
      <c r="AO14" s="12">
        <f t="shared" si="12"/>
        <v>102.22222222222221</v>
      </c>
    </row>
    <row r="15" spans="1:41" ht="20.100000000000001" customHeight="1" x14ac:dyDescent="0.3">
      <c r="A15" s="26" t="s">
        <v>175</v>
      </c>
      <c r="B15" s="70">
        <v>21</v>
      </c>
      <c r="C15" s="164">
        <v>25</v>
      </c>
      <c r="D15" s="165">
        <v>20</v>
      </c>
      <c r="E15" s="165">
        <v>24</v>
      </c>
      <c r="F15" s="165"/>
      <c r="G15" s="165">
        <v>18</v>
      </c>
      <c r="H15" s="165">
        <v>30</v>
      </c>
      <c r="I15" s="165">
        <v>22</v>
      </c>
      <c r="J15" s="165"/>
      <c r="K15" s="165"/>
      <c r="L15" s="165"/>
      <c r="M15" s="165"/>
      <c r="N15" s="165"/>
      <c r="O15" s="166"/>
      <c r="P15" s="13">
        <f t="shared" si="2"/>
        <v>139</v>
      </c>
      <c r="Q15" s="11">
        <f t="shared" si="3"/>
        <v>6</v>
      </c>
      <c r="R15" s="11">
        <f t="shared" si="4"/>
        <v>23.166666666666668</v>
      </c>
      <c r="S15" s="12">
        <f t="shared" si="5"/>
        <v>110.31746031746033</v>
      </c>
      <c r="T15" s="70">
        <v>21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139</v>
      </c>
      <c r="AM15" s="95">
        <f t="shared" si="10"/>
        <v>6</v>
      </c>
      <c r="AN15" s="11">
        <f t="shared" si="11"/>
        <v>23.166666666666668</v>
      </c>
      <c r="AO15" s="12">
        <f t="shared" si="12"/>
        <v>110.31746031746033</v>
      </c>
    </row>
    <row r="16" spans="1:41" ht="20.100000000000001" customHeight="1" x14ac:dyDescent="0.3">
      <c r="A16" s="26" t="s">
        <v>361</v>
      </c>
      <c r="B16" s="131">
        <v>15</v>
      </c>
      <c r="C16" s="164"/>
      <c r="D16" s="165">
        <v>8</v>
      </c>
      <c r="E16" s="165"/>
      <c r="F16" s="165">
        <v>17</v>
      </c>
      <c r="G16" s="165"/>
      <c r="H16" s="165">
        <v>9</v>
      </c>
      <c r="I16" s="165"/>
      <c r="J16" s="165"/>
      <c r="K16" s="165"/>
      <c r="L16" s="165"/>
      <c r="M16" s="165"/>
      <c r="N16" s="165"/>
      <c r="O16" s="166"/>
      <c r="P16" s="13">
        <f t="shared" si="2"/>
        <v>34</v>
      </c>
      <c r="Q16" s="11">
        <f t="shared" si="3"/>
        <v>3</v>
      </c>
      <c r="R16" s="11">
        <f t="shared" si="4"/>
        <v>11.333333333333334</v>
      </c>
      <c r="S16" s="12">
        <f t="shared" si="5"/>
        <v>75.555555555555557</v>
      </c>
      <c r="T16" s="131">
        <v>15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34</v>
      </c>
      <c r="AM16" s="95">
        <f t="shared" si="10"/>
        <v>3</v>
      </c>
      <c r="AN16" s="11">
        <f t="shared" si="11"/>
        <v>11.333333333333334</v>
      </c>
      <c r="AO16" s="12">
        <f t="shared" si="12"/>
        <v>75.555555555555557</v>
      </c>
    </row>
    <row r="17" spans="1:41" ht="20.100000000000001" customHeight="1" x14ac:dyDescent="0.3">
      <c r="A17" s="26">
        <v>0</v>
      </c>
      <c r="B17" s="131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60">
        <f>COUNT(B3:B18)</f>
        <v>15</v>
      </c>
      <c r="B19" s="181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1731</v>
      </c>
      <c r="Q19" s="19">
        <f>SUM(Q4:Q18)</f>
        <v>48</v>
      </c>
      <c r="R19" s="19">
        <f>P19/Q19</f>
        <v>36.0625</v>
      </c>
      <c r="S19" s="22"/>
      <c r="T19" s="180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1731</v>
      </c>
      <c r="AM19" s="18">
        <f>SUM(AM4:AM18)</f>
        <v>48</v>
      </c>
      <c r="AN19" s="18">
        <f t="shared" ref="AN19" si="16">AL19/AM19</f>
        <v>36.0625</v>
      </c>
      <c r="AO19" s="2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85" zoomScaleNormal="85" workbookViewId="0">
      <selection activeCell="J14" sqref="J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1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34</v>
      </c>
      <c r="B2" s="299" t="s">
        <v>42</v>
      </c>
      <c r="C2" s="301" t="s">
        <v>76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110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176</v>
      </c>
      <c r="B4" s="137">
        <v>43</v>
      </c>
      <c r="C4" s="161"/>
      <c r="D4" s="162">
        <v>38</v>
      </c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38</v>
      </c>
      <c r="Q4" s="8">
        <f>COUNTIF(C4:O4,"&gt;0")</f>
        <v>1</v>
      </c>
      <c r="R4" s="8">
        <f>IF(P4=0," ",P4/Q4)</f>
        <v>38</v>
      </c>
      <c r="S4" s="94">
        <f t="shared" ref="S4" si="0">IF(P4=0," ",P4/(Q4*T4)*100)</f>
        <v>88.372093023255815</v>
      </c>
      <c r="T4" s="70">
        <v>43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38</v>
      </c>
      <c r="AM4" s="123">
        <f t="shared" ref="AM4" si="2">Q4+AI4</f>
        <v>1</v>
      </c>
      <c r="AN4" s="8">
        <f>IF(AL4=0," ",AL4/AM4)</f>
        <v>38</v>
      </c>
      <c r="AO4" s="94">
        <f>IF(AL4=0," ",AL4/(AM4*T4)*100)</f>
        <v>88.372093023255815</v>
      </c>
    </row>
    <row r="5" spans="1:41" s="10" customFormat="1" ht="20.100000000000001" customHeight="1" x14ac:dyDescent="0.3">
      <c r="A5" s="26" t="s">
        <v>177</v>
      </c>
      <c r="B5" s="70">
        <v>28</v>
      </c>
      <c r="C5" s="164">
        <v>29</v>
      </c>
      <c r="D5" s="165">
        <v>50</v>
      </c>
      <c r="E5" s="224">
        <v>30</v>
      </c>
      <c r="F5" s="165">
        <v>33</v>
      </c>
      <c r="G5" s="165"/>
      <c r="H5" s="269">
        <v>31</v>
      </c>
      <c r="I5" s="165">
        <v>15</v>
      </c>
      <c r="J5" s="165">
        <v>20</v>
      </c>
      <c r="K5" s="165"/>
      <c r="L5" s="165"/>
      <c r="M5" s="165"/>
      <c r="N5" s="165"/>
      <c r="O5" s="166"/>
      <c r="P5" s="13">
        <f t="shared" ref="P5:P18" si="3">SUM(C5:O5)</f>
        <v>208</v>
      </c>
      <c r="Q5" s="11">
        <f t="shared" ref="Q5:Q18" si="4">COUNTIF(C5:O5,"&gt;0")</f>
        <v>7</v>
      </c>
      <c r="R5" s="11">
        <f t="shared" ref="R5:R18" si="5">IF(P5=0," ",P5/Q5)</f>
        <v>29.714285714285715</v>
      </c>
      <c r="S5" s="12">
        <f t="shared" ref="S5:S18" si="6">IF(P5=0," ",P5/(Q5*T5)*100)</f>
        <v>106.12244897959184</v>
      </c>
      <c r="T5" s="70">
        <v>28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208</v>
      </c>
      <c r="AM5" s="95">
        <f t="shared" ref="AM5:AM18" si="11">Q5+AI5</f>
        <v>7</v>
      </c>
      <c r="AN5" s="11">
        <f t="shared" ref="AN5:AN18" si="12">IF(AL5=0," ",AL5/AM5)</f>
        <v>29.714285714285715</v>
      </c>
      <c r="AO5" s="12">
        <f t="shared" ref="AO5:AO18" si="13">IF(AL5=0," ",AL5/(AM5*T5)*100)</f>
        <v>106.12244897959184</v>
      </c>
    </row>
    <row r="6" spans="1:41" s="10" customFormat="1" ht="20.100000000000001" customHeight="1" x14ac:dyDescent="0.3">
      <c r="A6" s="26" t="s">
        <v>178</v>
      </c>
      <c r="B6" s="70">
        <v>42</v>
      </c>
      <c r="C6" s="164">
        <v>38</v>
      </c>
      <c r="D6" s="224">
        <v>49</v>
      </c>
      <c r="E6" s="224">
        <v>18</v>
      </c>
      <c r="F6" s="165">
        <v>35</v>
      </c>
      <c r="G6" s="165">
        <v>51</v>
      </c>
      <c r="H6" s="269">
        <v>44</v>
      </c>
      <c r="I6" s="165">
        <v>22</v>
      </c>
      <c r="J6" s="165">
        <v>49</v>
      </c>
      <c r="K6" s="165"/>
      <c r="L6" s="165"/>
      <c r="M6" s="165"/>
      <c r="N6" s="165"/>
      <c r="O6" s="166"/>
      <c r="P6" s="13">
        <f>SUM(C6:O6)</f>
        <v>306</v>
      </c>
      <c r="Q6" s="11">
        <f>COUNTIF(C6:O6,"&gt;0")</f>
        <v>8</v>
      </c>
      <c r="R6" s="11">
        <f t="shared" si="5"/>
        <v>38.25</v>
      </c>
      <c r="S6" s="12">
        <f t="shared" si="6"/>
        <v>91.071428571428569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306</v>
      </c>
      <c r="AM6" s="95">
        <f t="shared" si="11"/>
        <v>8</v>
      </c>
      <c r="AN6" s="11">
        <f t="shared" si="12"/>
        <v>38.25</v>
      </c>
      <c r="AO6" s="12">
        <f t="shared" si="13"/>
        <v>91.071428571428569</v>
      </c>
    </row>
    <row r="7" spans="1:41" s="10" customFormat="1" ht="20.100000000000001" customHeight="1" x14ac:dyDescent="0.3">
      <c r="A7" s="26" t="s">
        <v>179</v>
      </c>
      <c r="B7" s="70">
        <v>40</v>
      </c>
      <c r="C7" s="164">
        <v>51</v>
      </c>
      <c r="D7" s="165">
        <v>33</v>
      </c>
      <c r="E7" s="165"/>
      <c r="F7" s="165">
        <v>33</v>
      </c>
      <c r="G7" s="165">
        <v>63</v>
      </c>
      <c r="H7" s="269">
        <v>65</v>
      </c>
      <c r="I7" s="269">
        <v>52</v>
      </c>
      <c r="J7" s="165">
        <v>40</v>
      </c>
      <c r="K7" s="165"/>
      <c r="L7" s="165"/>
      <c r="M7" s="165"/>
      <c r="N7" s="165"/>
      <c r="O7" s="166"/>
      <c r="P7" s="13">
        <f t="shared" si="3"/>
        <v>337</v>
      </c>
      <c r="Q7" s="11">
        <f t="shared" si="4"/>
        <v>7</v>
      </c>
      <c r="R7" s="11">
        <f t="shared" si="5"/>
        <v>48.142857142857146</v>
      </c>
      <c r="S7" s="12">
        <f t="shared" si="6"/>
        <v>120.35714285714285</v>
      </c>
      <c r="T7" s="70">
        <v>40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337</v>
      </c>
      <c r="AM7" s="95">
        <f t="shared" si="11"/>
        <v>7</v>
      </c>
      <c r="AN7" s="11">
        <f t="shared" si="12"/>
        <v>48.142857142857146</v>
      </c>
      <c r="AO7" s="12">
        <f t="shared" si="13"/>
        <v>120.35714285714285</v>
      </c>
    </row>
    <row r="8" spans="1:41" s="10" customFormat="1" ht="20.100000000000001" customHeight="1" x14ac:dyDescent="0.3">
      <c r="A8" s="26" t="s">
        <v>180</v>
      </c>
      <c r="B8" s="70">
        <v>32</v>
      </c>
      <c r="C8" s="164">
        <v>30</v>
      </c>
      <c r="D8" s="165"/>
      <c r="E8" s="165"/>
      <c r="F8" s="165"/>
      <c r="G8" s="165">
        <v>50</v>
      </c>
      <c r="H8" s="165"/>
      <c r="I8" s="165">
        <v>28</v>
      </c>
      <c r="J8" s="165"/>
      <c r="K8" s="165"/>
      <c r="L8" s="165"/>
      <c r="M8" s="165"/>
      <c r="N8" s="165"/>
      <c r="O8" s="166"/>
      <c r="P8" s="13">
        <f t="shared" si="3"/>
        <v>108</v>
      </c>
      <c r="Q8" s="11">
        <f t="shared" si="4"/>
        <v>3</v>
      </c>
      <c r="R8" s="11">
        <f t="shared" si="5"/>
        <v>36</v>
      </c>
      <c r="S8" s="12">
        <f t="shared" si="6"/>
        <v>112.5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108</v>
      </c>
      <c r="AM8" s="95">
        <f t="shared" si="11"/>
        <v>3</v>
      </c>
      <c r="AN8" s="11">
        <f t="shared" si="12"/>
        <v>36</v>
      </c>
      <c r="AO8" s="12">
        <f t="shared" si="13"/>
        <v>112.5</v>
      </c>
    </row>
    <row r="9" spans="1:41" s="10" customFormat="1" ht="20.100000000000001" customHeight="1" x14ac:dyDescent="0.3">
      <c r="A9" s="26" t="s">
        <v>181</v>
      </c>
      <c r="B9" s="70">
        <v>15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365</v>
      </c>
      <c r="B10" s="131">
        <v>43</v>
      </c>
      <c r="C10" s="164">
        <v>27</v>
      </c>
      <c r="D10" s="165"/>
      <c r="E10" s="165"/>
      <c r="F10" s="165">
        <v>47</v>
      </c>
      <c r="G10" s="165"/>
      <c r="H10" s="165"/>
      <c r="I10" s="165">
        <v>54</v>
      </c>
      <c r="J10" s="165">
        <v>49</v>
      </c>
      <c r="K10" s="165"/>
      <c r="L10" s="165"/>
      <c r="M10" s="165"/>
      <c r="N10" s="165"/>
      <c r="O10" s="166"/>
      <c r="P10" s="13">
        <f t="shared" si="3"/>
        <v>177</v>
      </c>
      <c r="Q10" s="11">
        <f t="shared" si="4"/>
        <v>4</v>
      </c>
      <c r="R10" s="11">
        <f t="shared" si="5"/>
        <v>44.25</v>
      </c>
      <c r="S10" s="12">
        <f t="shared" si="6"/>
        <v>102.90697674418605</v>
      </c>
      <c r="T10" s="131">
        <v>43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177</v>
      </c>
      <c r="AM10" s="95">
        <f t="shared" si="11"/>
        <v>4</v>
      </c>
      <c r="AN10" s="11">
        <f t="shared" si="12"/>
        <v>44.25</v>
      </c>
      <c r="AO10" s="12">
        <f t="shared" si="13"/>
        <v>102.90697674418605</v>
      </c>
    </row>
    <row r="11" spans="1:41" s="10" customFormat="1" ht="20.100000000000001" customHeight="1" x14ac:dyDescent="0.3">
      <c r="A11" s="26" t="s">
        <v>355</v>
      </c>
      <c r="B11" s="131">
        <v>35</v>
      </c>
      <c r="C11" s="164"/>
      <c r="D11" s="165">
        <v>24</v>
      </c>
      <c r="E11" s="165"/>
      <c r="F11" s="165">
        <v>49</v>
      </c>
      <c r="G11" s="165">
        <v>32</v>
      </c>
      <c r="H11" s="269">
        <v>68</v>
      </c>
      <c r="I11" s="165">
        <v>40</v>
      </c>
      <c r="J11" s="165"/>
      <c r="K11" s="165"/>
      <c r="L11" s="165"/>
      <c r="M11" s="165"/>
      <c r="N11" s="165"/>
      <c r="O11" s="166"/>
      <c r="P11" s="13">
        <f t="shared" si="3"/>
        <v>213</v>
      </c>
      <c r="Q11" s="11">
        <f t="shared" si="4"/>
        <v>5</v>
      </c>
      <c r="R11" s="11">
        <f t="shared" si="5"/>
        <v>42.6</v>
      </c>
      <c r="S11" s="12">
        <f t="shared" si="6"/>
        <v>121.71428571428571</v>
      </c>
      <c r="T11" s="131">
        <v>35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213</v>
      </c>
      <c r="AM11" s="95">
        <f t="shared" si="11"/>
        <v>5</v>
      </c>
      <c r="AN11" s="11">
        <f t="shared" si="12"/>
        <v>42.6</v>
      </c>
      <c r="AO11" s="12">
        <f t="shared" si="13"/>
        <v>121.71428571428571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4"/>
      <c r="D12" s="165"/>
      <c r="E12" s="165"/>
      <c r="F12" s="165"/>
      <c r="G12" s="165">
        <v>143</v>
      </c>
      <c r="H12" s="165"/>
      <c r="I12" s="165"/>
      <c r="J12" s="165"/>
      <c r="K12" s="165"/>
      <c r="L12" s="165"/>
      <c r="M12" s="165"/>
      <c r="N12" s="165"/>
      <c r="O12" s="166"/>
      <c r="P12" s="13">
        <f t="shared" si="3"/>
        <v>143</v>
      </c>
      <c r="Q12" s="11">
        <f t="shared" si="4"/>
        <v>1</v>
      </c>
      <c r="R12" s="11">
        <f t="shared" si="5"/>
        <v>143</v>
      </c>
      <c r="S12" s="12">
        <f t="shared" si="6"/>
        <v>131.1926605504587</v>
      </c>
      <c r="T12" s="70">
        <v>109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143</v>
      </c>
      <c r="AM12" s="95">
        <f t="shared" si="11"/>
        <v>1</v>
      </c>
      <c r="AN12" s="11">
        <f t="shared" si="12"/>
        <v>143</v>
      </c>
      <c r="AO12" s="12">
        <f t="shared" si="13"/>
        <v>131.1926605504587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4"/>
      <c r="D13" s="165">
        <v>67</v>
      </c>
      <c r="E13" s="224">
        <v>55</v>
      </c>
      <c r="F13" s="165"/>
      <c r="G13" s="165"/>
      <c r="H13" s="269">
        <v>69</v>
      </c>
      <c r="I13" s="165">
        <v>39</v>
      </c>
      <c r="J13" s="165">
        <v>50</v>
      </c>
      <c r="K13" s="165"/>
      <c r="L13" s="165"/>
      <c r="M13" s="165"/>
      <c r="N13" s="165"/>
      <c r="O13" s="166"/>
      <c r="P13" s="13">
        <f t="shared" si="3"/>
        <v>280</v>
      </c>
      <c r="Q13" s="11">
        <f t="shared" si="4"/>
        <v>5</v>
      </c>
      <c r="R13" s="11">
        <f t="shared" si="5"/>
        <v>56</v>
      </c>
      <c r="S13" s="12">
        <f t="shared" si="6"/>
        <v>124.44444444444444</v>
      </c>
      <c r="T13" s="70">
        <v>45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280</v>
      </c>
      <c r="AM13" s="95">
        <f t="shared" si="11"/>
        <v>5</v>
      </c>
      <c r="AN13" s="11">
        <f t="shared" si="12"/>
        <v>56</v>
      </c>
      <c r="AO13" s="12">
        <f t="shared" si="13"/>
        <v>124.44444444444444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4">
        <v>34</v>
      </c>
      <c r="D14" s="165"/>
      <c r="E14" s="224">
        <v>36</v>
      </c>
      <c r="F14" s="165">
        <v>19</v>
      </c>
      <c r="G14" s="165">
        <v>37</v>
      </c>
      <c r="H14" s="165"/>
      <c r="I14" s="165"/>
      <c r="J14" s="165">
        <v>23</v>
      </c>
      <c r="K14" s="165"/>
      <c r="L14" s="165"/>
      <c r="M14" s="165"/>
      <c r="N14" s="165"/>
      <c r="O14" s="166"/>
      <c r="P14" s="13">
        <f t="shared" si="3"/>
        <v>149</v>
      </c>
      <c r="Q14" s="11">
        <f t="shared" si="4"/>
        <v>5</v>
      </c>
      <c r="R14" s="11">
        <f t="shared" si="5"/>
        <v>29.8</v>
      </c>
      <c r="S14" s="12">
        <f t="shared" si="6"/>
        <v>85.142857142857139</v>
      </c>
      <c r="T14" s="70">
        <v>35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149</v>
      </c>
      <c r="AM14" s="95">
        <f t="shared" si="11"/>
        <v>5</v>
      </c>
      <c r="AN14" s="11">
        <f t="shared" si="12"/>
        <v>29.8</v>
      </c>
      <c r="AO14" s="12">
        <f t="shared" si="13"/>
        <v>85.142857142857139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4"/>
      <c r="D15" s="165">
        <v>45</v>
      </c>
      <c r="E15" s="224">
        <v>79</v>
      </c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124</v>
      </c>
      <c r="Q15" s="11">
        <f t="shared" si="4"/>
        <v>2</v>
      </c>
      <c r="R15" s="11">
        <f t="shared" si="5"/>
        <v>62</v>
      </c>
      <c r="S15" s="12">
        <f t="shared" si="6"/>
        <v>124</v>
      </c>
      <c r="T15" s="70">
        <v>50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124</v>
      </c>
      <c r="AM15" s="95">
        <f t="shared" si="11"/>
        <v>2</v>
      </c>
      <c r="AN15" s="11">
        <f t="shared" si="12"/>
        <v>62</v>
      </c>
      <c r="AO15" s="12">
        <f t="shared" si="13"/>
        <v>124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>SUM(N4:N18)</f>
        <v>0</v>
      </c>
      <c r="O19" s="19">
        <f>SUM(O4:O18)</f>
        <v>0</v>
      </c>
      <c r="P19" s="19">
        <f t="shared" si="15"/>
        <v>2083</v>
      </c>
      <c r="Q19" s="19">
        <f t="shared" si="15"/>
        <v>48</v>
      </c>
      <c r="R19" s="19">
        <f>P19/Q19</f>
        <v>43.395833333333336</v>
      </c>
      <c r="S19" s="22"/>
      <c r="T19" s="180">
        <f>SUM(T4:T18)</f>
        <v>517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2083</v>
      </c>
      <c r="AM19" s="18">
        <f>SUM(AM4:AM18)</f>
        <v>48</v>
      </c>
      <c r="AN19" s="18">
        <f t="shared" ref="AN19" si="18">AL19/AM19</f>
        <v>43.395833333333336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O34" sqref="O3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3" t="s">
        <v>283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1"/>
      <c r="AL1" s="295" t="s">
        <v>41</v>
      </c>
      <c r="AM1" s="295"/>
      <c r="AN1" s="295"/>
      <c r="AO1" s="296"/>
    </row>
    <row r="2" spans="1:41" ht="121.5" customHeight="1" thickBot="1" x14ac:dyDescent="0.35">
      <c r="A2" s="297" t="s">
        <v>298</v>
      </c>
      <c r="B2" s="299" t="s">
        <v>42</v>
      </c>
      <c r="C2" s="301" t="s">
        <v>166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3"/>
      <c r="P2" s="304" t="s">
        <v>44</v>
      </c>
      <c r="Q2" s="306" t="s">
        <v>45</v>
      </c>
      <c r="R2" s="306" t="s">
        <v>46</v>
      </c>
      <c r="S2" s="308" t="s">
        <v>284</v>
      </c>
      <c r="T2" s="310" t="s">
        <v>47</v>
      </c>
      <c r="U2" s="301" t="s">
        <v>128</v>
      </c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3"/>
      <c r="AH2" s="291" t="s">
        <v>44</v>
      </c>
      <c r="AI2" s="287" t="s">
        <v>45</v>
      </c>
      <c r="AJ2" s="289" t="s">
        <v>49</v>
      </c>
      <c r="AK2" s="75"/>
      <c r="AL2" s="291" t="s">
        <v>44</v>
      </c>
      <c r="AM2" s="287" t="s">
        <v>45</v>
      </c>
      <c r="AN2" s="287" t="s">
        <v>50</v>
      </c>
      <c r="AO2" s="289" t="s">
        <v>284</v>
      </c>
    </row>
    <row r="3" spans="1:41" ht="15" customHeight="1" thickBot="1" x14ac:dyDescent="0.35">
      <c r="A3" s="298"/>
      <c r="B3" s="30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5"/>
      <c r="Q3" s="307"/>
      <c r="R3" s="307"/>
      <c r="S3" s="309"/>
      <c r="T3" s="31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88"/>
      <c r="AJ3" s="290"/>
      <c r="AK3" s="76"/>
      <c r="AL3" s="292"/>
      <c r="AM3" s="288"/>
      <c r="AN3" s="288"/>
      <c r="AO3" s="290"/>
    </row>
    <row r="4" spans="1:41" s="10" customFormat="1" ht="20.100000000000001" customHeight="1" x14ac:dyDescent="0.3">
      <c r="A4" s="178" t="s">
        <v>186</v>
      </c>
      <c r="B4" s="137">
        <v>29</v>
      </c>
      <c r="C4" s="161">
        <v>21</v>
      </c>
      <c r="D4" s="162"/>
      <c r="E4" s="162">
        <v>24</v>
      </c>
      <c r="F4" s="162"/>
      <c r="G4" s="162"/>
      <c r="H4" s="162">
        <v>31</v>
      </c>
      <c r="I4" s="162">
        <v>29</v>
      </c>
      <c r="J4" s="162">
        <v>27</v>
      </c>
      <c r="K4" s="162"/>
      <c r="L4" s="162"/>
      <c r="M4" s="162"/>
      <c r="N4" s="162"/>
      <c r="O4" s="163"/>
      <c r="P4" s="9">
        <f>SUM(C4:O4)</f>
        <v>132</v>
      </c>
      <c r="Q4" s="8">
        <f>COUNTIF(C4:O4,"&gt;0")</f>
        <v>5</v>
      </c>
      <c r="R4" s="8">
        <f>IF(P4=0," ",P4/Q4)</f>
        <v>26.4</v>
      </c>
      <c r="S4" s="94">
        <f t="shared" ref="S4:S18" si="0">IF(P4=0," ",P4/(Q4*T4)*100)</f>
        <v>91.034482758620697</v>
      </c>
      <c r="T4" s="137">
        <v>29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132</v>
      </c>
      <c r="AM4" s="123">
        <f t="shared" si="1"/>
        <v>5</v>
      </c>
      <c r="AN4" s="8">
        <f>IF(AL4=0," ",AL4/AM4)</f>
        <v>26.4</v>
      </c>
      <c r="AO4" s="94">
        <f>IF(AL4=0," ",AL4/(AM4*T4)*100)</f>
        <v>91.034482758620697</v>
      </c>
    </row>
    <row r="5" spans="1:41" s="10" customFormat="1" ht="20.100000000000001" customHeight="1" x14ac:dyDescent="0.3">
      <c r="A5" s="69" t="s">
        <v>187</v>
      </c>
      <c r="B5" s="70">
        <v>36</v>
      </c>
      <c r="C5" s="164">
        <v>33</v>
      </c>
      <c r="D5" s="165"/>
      <c r="E5" s="165">
        <v>47</v>
      </c>
      <c r="F5" s="165">
        <v>53</v>
      </c>
      <c r="G5" s="165"/>
      <c r="H5" s="165">
        <v>52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185</v>
      </c>
      <c r="Q5" s="11">
        <f t="shared" ref="Q5:Q18" si="3">COUNTIF(C5:O5,"&gt;0")</f>
        <v>4</v>
      </c>
      <c r="R5" s="11">
        <f t="shared" ref="R5:R18" si="4">IF(P5=0," ",P5/Q5)</f>
        <v>46.25</v>
      </c>
      <c r="S5" s="12">
        <f t="shared" si="0"/>
        <v>128.47222222222223</v>
      </c>
      <c r="T5" s="70">
        <v>36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185</v>
      </c>
      <c r="AM5" s="95">
        <f t="shared" si="1"/>
        <v>4</v>
      </c>
      <c r="AN5" s="11">
        <f t="shared" ref="AN5:AN18" si="8">IF(AL5=0," ",AL5/AM5)</f>
        <v>46.25</v>
      </c>
      <c r="AO5" s="12">
        <f t="shared" ref="AO5:AO18" si="9">IF(AL5=0," ",AL5/(AM5*T5)*100)</f>
        <v>128.47222222222223</v>
      </c>
    </row>
    <row r="6" spans="1:41" s="10" customFormat="1" ht="20.100000000000001" customHeight="1" x14ac:dyDescent="0.3">
      <c r="A6" s="26" t="s">
        <v>188</v>
      </c>
      <c r="B6" s="70">
        <v>46</v>
      </c>
      <c r="C6" s="164"/>
      <c r="D6" s="165">
        <v>31</v>
      </c>
      <c r="E6" s="165"/>
      <c r="F6" s="165">
        <v>36</v>
      </c>
      <c r="G6" s="165"/>
      <c r="H6" s="165">
        <v>32</v>
      </c>
      <c r="I6" s="165">
        <v>49</v>
      </c>
      <c r="J6" s="165">
        <v>51</v>
      </c>
      <c r="K6" s="165"/>
      <c r="L6" s="165"/>
      <c r="M6" s="165"/>
      <c r="N6" s="165"/>
      <c r="O6" s="166"/>
      <c r="P6" s="13">
        <f t="shared" si="2"/>
        <v>199</v>
      </c>
      <c r="Q6" s="11">
        <f t="shared" si="3"/>
        <v>5</v>
      </c>
      <c r="R6" s="11">
        <f t="shared" si="4"/>
        <v>39.799999999999997</v>
      </c>
      <c r="S6" s="12">
        <f t="shared" si="0"/>
        <v>86.521739130434781</v>
      </c>
      <c r="T6" s="70">
        <v>46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199</v>
      </c>
      <c r="AM6" s="95">
        <f t="shared" si="1"/>
        <v>5</v>
      </c>
      <c r="AN6" s="11">
        <f t="shared" si="8"/>
        <v>39.799999999999997</v>
      </c>
      <c r="AO6" s="12">
        <f t="shared" si="9"/>
        <v>86.521739130434781</v>
      </c>
    </row>
    <row r="7" spans="1:41" s="10" customFormat="1" ht="20.100000000000001" customHeight="1" x14ac:dyDescent="0.3">
      <c r="A7" s="26" t="s">
        <v>189</v>
      </c>
      <c r="B7" s="70">
        <v>33</v>
      </c>
      <c r="C7" s="164">
        <v>29</v>
      </c>
      <c r="D7" s="165"/>
      <c r="E7" s="165"/>
      <c r="F7" s="165">
        <v>37</v>
      </c>
      <c r="G7" s="165">
        <v>35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101</v>
      </c>
      <c r="Q7" s="11">
        <f t="shared" si="3"/>
        <v>3</v>
      </c>
      <c r="R7" s="11">
        <f t="shared" si="4"/>
        <v>33.666666666666664</v>
      </c>
      <c r="S7" s="12">
        <f t="shared" si="0"/>
        <v>102.02020202020201</v>
      </c>
      <c r="T7" s="70">
        <v>33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101</v>
      </c>
      <c r="AM7" s="95">
        <f t="shared" si="1"/>
        <v>3</v>
      </c>
      <c r="AN7" s="11">
        <f t="shared" si="8"/>
        <v>33.666666666666664</v>
      </c>
      <c r="AO7" s="12">
        <f t="shared" si="9"/>
        <v>102.02020202020201</v>
      </c>
    </row>
    <row r="8" spans="1:41" s="10" customFormat="1" ht="20.100000000000001" customHeight="1" x14ac:dyDescent="0.3">
      <c r="A8" s="26" t="s">
        <v>190</v>
      </c>
      <c r="B8" s="70">
        <v>24</v>
      </c>
      <c r="C8" s="164"/>
      <c r="D8" s="165">
        <v>27</v>
      </c>
      <c r="E8" s="165">
        <v>13</v>
      </c>
      <c r="F8" s="165"/>
      <c r="G8" s="165">
        <v>24</v>
      </c>
      <c r="H8" s="165">
        <v>19</v>
      </c>
      <c r="I8" s="165"/>
      <c r="J8" s="165">
        <v>10</v>
      </c>
      <c r="K8" s="165"/>
      <c r="L8" s="165"/>
      <c r="M8" s="165"/>
      <c r="N8" s="165"/>
      <c r="O8" s="166"/>
      <c r="P8" s="13">
        <f t="shared" si="2"/>
        <v>93</v>
      </c>
      <c r="Q8" s="11">
        <f t="shared" si="3"/>
        <v>5</v>
      </c>
      <c r="R8" s="11">
        <f t="shared" si="4"/>
        <v>18.600000000000001</v>
      </c>
      <c r="S8" s="12">
        <f t="shared" si="0"/>
        <v>77.5</v>
      </c>
      <c r="T8" s="70">
        <v>24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93</v>
      </c>
      <c r="AM8" s="95">
        <f t="shared" si="1"/>
        <v>5</v>
      </c>
      <c r="AN8" s="11">
        <f t="shared" si="8"/>
        <v>18.600000000000001</v>
      </c>
      <c r="AO8" s="12">
        <f t="shared" si="9"/>
        <v>77.5</v>
      </c>
    </row>
    <row r="9" spans="1:41" s="10" customFormat="1" ht="20.100000000000001" customHeight="1" x14ac:dyDescent="0.3">
      <c r="A9" s="26" t="s">
        <v>191</v>
      </c>
      <c r="B9" s="70">
        <v>23</v>
      </c>
      <c r="C9" s="164">
        <v>19</v>
      </c>
      <c r="D9" s="165"/>
      <c r="E9" s="165">
        <v>24</v>
      </c>
      <c r="F9" s="165">
        <v>28</v>
      </c>
      <c r="G9" s="165">
        <v>15</v>
      </c>
      <c r="H9" s="165">
        <v>18</v>
      </c>
      <c r="I9" s="165">
        <v>29</v>
      </c>
      <c r="J9" s="165"/>
      <c r="K9" s="165"/>
      <c r="L9" s="165"/>
      <c r="M9" s="165"/>
      <c r="N9" s="165"/>
      <c r="O9" s="166"/>
      <c r="P9" s="13">
        <f t="shared" si="2"/>
        <v>133</v>
      </c>
      <c r="Q9" s="11">
        <f t="shared" si="3"/>
        <v>6</v>
      </c>
      <c r="R9" s="11">
        <f t="shared" si="4"/>
        <v>22.166666666666668</v>
      </c>
      <c r="S9" s="12">
        <f t="shared" si="0"/>
        <v>96.376811594202891</v>
      </c>
      <c r="T9" s="70">
        <v>23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133</v>
      </c>
      <c r="AM9" s="95">
        <f t="shared" si="1"/>
        <v>6</v>
      </c>
      <c r="AN9" s="11">
        <f t="shared" si="8"/>
        <v>22.166666666666668</v>
      </c>
      <c r="AO9" s="12">
        <f t="shared" si="9"/>
        <v>96.376811594202891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4">
        <v>24</v>
      </c>
      <c r="D10" s="165">
        <v>24</v>
      </c>
      <c r="E10" s="165"/>
      <c r="F10" s="165">
        <v>34</v>
      </c>
      <c r="G10" s="165">
        <v>31</v>
      </c>
      <c r="H10" s="165"/>
      <c r="I10" s="165">
        <v>31</v>
      </c>
      <c r="J10" s="165">
        <v>24</v>
      </c>
      <c r="K10" s="165"/>
      <c r="L10" s="165"/>
      <c r="M10" s="165"/>
      <c r="N10" s="165"/>
      <c r="O10" s="166"/>
      <c r="P10" s="13">
        <f t="shared" si="2"/>
        <v>168</v>
      </c>
      <c r="Q10" s="11">
        <f t="shared" si="3"/>
        <v>6</v>
      </c>
      <c r="R10" s="11">
        <f t="shared" si="4"/>
        <v>28</v>
      </c>
      <c r="S10" s="12">
        <f t="shared" si="0"/>
        <v>107.69230769230769</v>
      </c>
      <c r="T10" s="70">
        <v>26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168</v>
      </c>
      <c r="AM10" s="95">
        <f t="shared" si="1"/>
        <v>6</v>
      </c>
      <c r="AN10" s="11">
        <f t="shared" si="8"/>
        <v>28</v>
      </c>
      <c r="AO10" s="12">
        <f t="shared" si="9"/>
        <v>107.69230769230769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4"/>
      <c r="D11" s="165">
        <v>30</v>
      </c>
      <c r="E11" s="165"/>
      <c r="F11" s="165"/>
      <c r="G11" s="165"/>
      <c r="H11" s="165"/>
      <c r="I11" s="165">
        <v>45</v>
      </c>
      <c r="J11" s="165">
        <v>13</v>
      </c>
      <c r="K11" s="165"/>
      <c r="L11" s="165"/>
      <c r="M11" s="165"/>
      <c r="N11" s="165"/>
      <c r="O11" s="166"/>
      <c r="P11" s="13">
        <f t="shared" si="2"/>
        <v>88</v>
      </c>
      <c r="Q11" s="11">
        <f t="shared" si="3"/>
        <v>3</v>
      </c>
      <c r="R11" s="11">
        <f t="shared" si="4"/>
        <v>29.333333333333332</v>
      </c>
      <c r="S11" s="12">
        <f t="shared" si="0"/>
        <v>66.666666666666657</v>
      </c>
      <c r="T11" s="70">
        <v>44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88</v>
      </c>
      <c r="AM11" s="95">
        <f t="shared" si="1"/>
        <v>3</v>
      </c>
      <c r="AN11" s="11">
        <f t="shared" si="8"/>
        <v>29.333333333333332</v>
      </c>
      <c r="AO11" s="12">
        <f t="shared" si="9"/>
        <v>66.666666666666657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4">
        <v>23</v>
      </c>
      <c r="D12" s="165">
        <v>16</v>
      </c>
      <c r="E12" s="165">
        <v>25</v>
      </c>
      <c r="F12" s="165">
        <v>24</v>
      </c>
      <c r="G12" s="165">
        <v>31</v>
      </c>
      <c r="H12" s="165">
        <v>32</v>
      </c>
      <c r="I12" s="165"/>
      <c r="J12" s="165"/>
      <c r="K12" s="165"/>
      <c r="L12" s="165"/>
      <c r="M12" s="165"/>
      <c r="N12" s="165"/>
      <c r="O12" s="166"/>
      <c r="P12" s="13">
        <f t="shared" si="2"/>
        <v>151</v>
      </c>
      <c r="Q12" s="11">
        <f t="shared" si="3"/>
        <v>6</v>
      </c>
      <c r="R12" s="11">
        <f t="shared" si="4"/>
        <v>25.166666666666668</v>
      </c>
      <c r="S12" s="12">
        <f t="shared" si="0"/>
        <v>89.88095238095238</v>
      </c>
      <c r="T12" s="70">
        <v>28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151</v>
      </c>
      <c r="AM12" s="95">
        <f t="shared" si="1"/>
        <v>6</v>
      </c>
      <c r="AN12" s="11">
        <f t="shared" si="8"/>
        <v>25.166666666666668</v>
      </c>
      <c r="AO12" s="12">
        <f t="shared" si="9"/>
        <v>89.88095238095238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4"/>
      <c r="D13" s="165">
        <v>48</v>
      </c>
      <c r="E13" s="165">
        <v>13</v>
      </c>
      <c r="F13" s="165"/>
      <c r="G13" s="165">
        <v>27</v>
      </c>
      <c r="H13" s="165"/>
      <c r="I13" s="165">
        <v>37</v>
      </c>
      <c r="J13" s="165">
        <v>33</v>
      </c>
      <c r="K13" s="165"/>
      <c r="L13" s="165"/>
      <c r="M13" s="165"/>
      <c r="N13" s="165"/>
      <c r="O13" s="166"/>
      <c r="P13" s="13">
        <f t="shared" si="2"/>
        <v>158</v>
      </c>
      <c r="Q13" s="11">
        <f t="shared" si="3"/>
        <v>5</v>
      </c>
      <c r="R13" s="11">
        <f t="shared" si="4"/>
        <v>31.6</v>
      </c>
      <c r="S13" s="12">
        <f t="shared" si="0"/>
        <v>92.941176470588232</v>
      </c>
      <c r="T13" s="70">
        <v>34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158</v>
      </c>
      <c r="AM13" s="95">
        <f t="shared" si="1"/>
        <v>5</v>
      </c>
      <c r="AN13" s="11">
        <f t="shared" si="8"/>
        <v>31.6</v>
      </c>
      <c r="AO13" s="12">
        <f t="shared" si="9"/>
        <v>92.941176470588232</v>
      </c>
    </row>
    <row r="14" spans="1:41" s="10" customFormat="1" ht="20.100000000000001" customHeight="1" x14ac:dyDescent="0.3">
      <c r="A14" s="26"/>
      <c r="B14" s="70"/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60">
        <f>COUNT(B2:B18)</f>
        <v>14</v>
      </c>
      <c r="B19" s="181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0</v>
      </c>
      <c r="L19" s="19">
        <f t="shared" si="11"/>
        <v>0</v>
      </c>
      <c r="M19" s="19">
        <f t="shared" si="11"/>
        <v>0</v>
      </c>
      <c r="N19" s="19">
        <f t="shared" si="11"/>
        <v>0</v>
      </c>
      <c r="O19" s="19">
        <f t="shared" si="11"/>
        <v>0</v>
      </c>
      <c r="P19" s="19">
        <f t="shared" si="11"/>
        <v>1408</v>
      </c>
      <c r="Q19" s="19">
        <f t="shared" si="11"/>
        <v>48</v>
      </c>
      <c r="R19" s="19">
        <f t="shared" si="11"/>
        <v>300.98333333333335</v>
      </c>
      <c r="S19" s="22"/>
      <c r="T19" s="180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1408</v>
      </c>
      <c r="AM19" s="18">
        <f>SUM(AM4:AM18)</f>
        <v>48</v>
      </c>
      <c r="AN19" s="18">
        <f t="shared" ref="AN19" si="13">AL19/AM19</f>
        <v>29.333333333333332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Y20" sqref="Y20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2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307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3" t="str">
        <f>Horendonk!A14</f>
        <v>Veraart Jef     (ns)</v>
      </c>
      <c r="C13" s="174">
        <f>Horendonk!T14</f>
        <v>27</v>
      </c>
      <c r="E13" s="68" t="str">
        <f>Kerkuilen!A14</f>
        <v>Schrooyen Jef</v>
      </c>
      <c r="F13" s="55">
        <f>Kerkuilen!T14</f>
        <v>51</v>
      </c>
      <c r="H13" s="267" t="str">
        <f>Meeuwen1!A14</f>
        <v>Vossen Ronny  [NS 20]</v>
      </c>
      <c r="I13" s="174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12" t="str">
        <f>Kerkuilen!A16</f>
        <v>Van Ginneken Cyriel  (ns)</v>
      </c>
      <c r="F15" s="174">
        <f>Kerkuilen!T16</f>
        <v>20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7" t="str">
        <f>Kerkuilen!A17</f>
        <v>Van Oers Danny  [NS 50]</v>
      </c>
      <c r="F16" s="174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572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12" t="str">
        <f>Meeuwen2!A12</f>
        <v>Present Marc     (ns)</v>
      </c>
      <c r="C29" s="174">
        <f>Meeuwen2!T12</f>
        <v>20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460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4" t="str">
        <f>Nispen!A9</f>
        <v>Klijn Toon [NS 20]</v>
      </c>
      <c r="C44" s="174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4" t="str">
        <f>Nispen!A10</f>
        <v>Martens Gerrit [OS]</v>
      </c>
      <c r="C45" s="175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12" t="str">
        <f>Oudeglorie!A13</f>
        <v>Nelen Jef (ns)</v>
      </c>
      <c r="F48" s="174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7" t="str">
        <f>Wildert1!A6</f>
        <v>Buijk Jan  [NS 55]</v>
      </c>
      <c r="I59" s="176">
        <f>Wildert1!T6</f>
        <v>54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7" t="str">
        <f>Rooiebal2!A14</f>
        <v>Konings Kamiel [NS 20]</v>
      </c>
      <c r="C67" s="174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7" t="str">
        <f>Wildert1!A16</f>
        <v xml:space="preserve">Wetzer Rik [NS 20] </v>
      </c>
      <c r="I69" s="176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298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7" t="str">
        <f>Wildert2!A10</f>
        <v>Peeters Hugo [NS 36]</v>
      </c>
      <c r="C81" s="174">
        <f>Wildert2!T10</f>
        <v>43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6" t="str">
        <f>Wildert2!A11</f>
        <v xml:space="preserve">Scholtis Vic  [NS 49] </v>
      </c>
      <c r="C82" s="174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517</v>
      </c>
      <c r="D88" s="108"/>
      <c r="E88" s="149"/>
      <c r="F88" s="151">
        <f>SUM(F75:F87)</f>
        <v>323</v>
      </c>
      <c r="G88" s="108"/>
      <c r="H88" s="108"/>
      <c r="I88" s="110"/>
    </row>
  </sheetData>
  <sheetProtection algorithmName="SHA-512" hashValue="0zQGGrj4em2H5ukkZiBTTSCt7ovarB7F6U8UPn3Xhh/Ho098ZMb2EyRvHXUJoiW3N+G49o5/Bo4J+h/MmZjORg==" saltValue="0xpzWvbEakSXeGBQ6zsVjg==" spinCount="100000" sheet="1" objects="1" scenarios="1"/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3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2" t="s">
        <v>334</v>
      </c>
      <c r="D2" s="322"/>
      <c r="E2" s="322"/>
      <c r="F2" s="322"/>
      <c r="G2" s="322"/>
      <c r="H2" s="322"/>
      <c r="I2" s="322"/>
    </row>
    <row r="3" spans="1:26" s="59" customFormat="1" ht="20.100000000000001" customHeight="1" x14ac:dyDescent="0.4">
      <c r="A3"/>
      <c r="C3" s="323" t="s">
        <v>198</v>
      </c>
      <c r="D3" s="323"/>
      <c r="E3" s="323"/>
      <c r="F3" s="323"/>
      <c r="G3" s="323"/>
      <c r="H3" s="323"/>
      <c r="I3" s="323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2" t="s">
        <v>5</v>
      </c>
      <c r="C6" s="182" t="s">
        <v>329</v>
      </c>
      <c r="D6" s="182" t="s">
        <v>131</v>
      </c>
      <c r="E6" s="182" t="s">
        <v>199</v>
      </c>
      <c r="F6" s="183">
        <v>2910</v>
      </c>
      <c r="G6" s="183" t="s">
        <v>200</v>
      </c>
      <c r="H6" s="184"/>
      <c r="I6" s="182" t="s">
        <v>201</v>
      </c>
      <c r="J6" s="185" t="s">
        <v>202</v>
      </c>
      <c r="K6" s="186"/>
    </row>
    <row r="7" spans="1:26" ht="15" customHeight="1" x14ac:dyDescent="0.3">
      <c r="B7" s="182"/>
      <c r="C7" s="182"/>
      <c r="D7" s="182"/>
      <c r="E7" s="182"/>
      <c r="F7" s="183"/>
      <c r="G7" s="183"/>
      <c r="H7" s="184" t="s">
        <v>203</v>
      </c>
      <c r="I7" s="182" t="s">
        <v>204</v>
      </c>
      <c r="J7" s="186"/>
      <c r="K7" s="186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7" t="s">
        <v>6</v>
      </c>
      <c r="C9" s="194" t="s">
        <v>329</v>
      </c>
      <c r="D9" s="187" t="s">
        <v>55</v>
      </c>
      <c r="E9" s="187" t="s">
        <v>322</v>
      </c>
      <c r="F9" s="188">
        <v>2910</v>
      </c>
      <c r="G9" s="188" t="s">
        <v>200</v>
      </c>
      <c r="H9" s="189"/>
      <c r="I9" s="187" t="s">
        <v>346</v>
      </c>
      <c r="J9" s="190" t="s">
        <v>327</v>
      </c>
      <c r="K9" s="191"/>
    </row>
    <row r="10" spans="1:26" ht="15.75" customHeight="1" x14ac:dyDescent="0.3">
      <c r="B10" s="192"/>
      <c r="C10" s="192"/>
      <c r="D10" s="192"/>
      <c r="E10" s="187"/>
      <c r="F10" s="188"/>
      <c r="G10" s="188"/>
      <c r="H10" s="189" t="s">
        <v>203</v>
      </c>
      <c r="I10" s="187" t="s">
        <v>323</v>
      </c>
      <c r="J10" s="191"/>
      <c r="K10" s="191"/>
    </row>
    <row r="11" spans="1:26" ht="5.0999999999999996" customHeight="1" x14ac:dyDescent="0.3">
      <c r="H11" s="63"/>
      <c r="I11" s="61"/>
    </row>
    <row r="12" spans="1:26" ht="15.6" x14ac:dyDescent="0.3">
      <c r="B12" s="186" t="s">
        <v>205</v>
      </c>
      <c r="C12" s="186" t="s">
        <v>329</v>
      </c>
      <c r="D12" s="186" t="s">
        <v>85</v>
      </c>
      <c r="E12" s="186" t="s">
        <v>209</v>
      </c>
      <c r="F12" s="193">
        <v>2910</v>
      </c>
      <c r="G12" s="193" t="s">
        <v>200</v>
      </c>
      <c r="H12" s="184" t="s">
        <v>203</v>
      </c>
      <c r="I12" s="182" t="s">
        <v>210</v>
      </c>
      <c r="J12" s="185" t="s">
        <v>211</v>
      </c>
      <c r="K12" s="186"/>
    </row>
    <row r="13" spans="1:26" ht="4.95" customHeight="1" x14ac:dyDescent="0.3">
      <c r="B13" s="186"/>
      <c r="C13" s="186"/>
      <c r="D13" s="186"/>
      <c r="E13" s="186"/>
      <c r="F13" s="193"/>
      <c r="G13" s="193"/>
      <c r="H13" s="184"/>
      <c r="I13" s="182"/>
      <c r="J13" s="185"/>
      <c r="K13" s="186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2" t="s">
        <v>212</v>
      </c>
      <c r="C15" s="202" t="s">
        <v>329</v>
      </c>
      <c r="D15" s="202" t="s">
        <v>206</v>
      </c>
      <c r="E15" s="202" t="s">
        <v>207</v>
      </c>
      <c r="F15" s="203">
        <v>2910</v>
      </c>
      <c r="G15" s="203" t="s">
        <v>200</v>
      </c>
      <c r="H15" s="206"/>
      <c r="I15" s="204" t="s">
        <v>208</v>
      </c>
      <c r="J15" s="202"/>
      <c r="K15" s="202"/>
    </row>
    <row r="16" spans="1:26" ht="4.95" customHeight="1" x14ac:dyDescent="0.3">
      <c r="B16" s="191"/>
      <c r="C16" s="191"/>
      <c r="D16" s="191"/>
      <c r="E16" s="191"/>
      <c r="F16" s="210"/>
      <c r="G16" s="210"/>
      <c r="H16" s="196"/>
      <c r="I16" s="194"/>
      <c r="J16" s="190"/>
      <c r="K16" s="191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7" t="s">
        <v>15</v>
      </c>
      <c r="C18" s="197" t="s">
        <v>329</v>
      </c>
      <c r="D18" s="197" t="s">
        <v>330</v>
      </c>
      <c r="E18" s="197" t="s">
        <v>324</v>
      </c>
      <c r="F18" s="198">
        <v>2910</v>
      </c>
      <c r="G18" s="198" t="s">
        <v>200</v>
      </c>
      <c r="H18" s="200" t="s">
        <v>203</v>
      </c>
      <c r="I18" s="199" t="s">
        <v>325</v>
      </c>
      <c r="J18" s="201" t="s">
        <v>326</v>
      </c>
      <c r="K18" s="197"/>
    </row>
    <row r="19" spans="1:11" ht="4.95" customHeight="1" x14ac:dyDescent="0.3">
      <c r="B19" s="186"/>
      <c r="C19" s="186"/>
      <c r="D19" s="186"/>
      <c r="E19" s="186"/>
      <c r="F19" s="193"/>
      <c r="G19" s="193"/>
      <c r="H19" s="184"/>
      <c r="I19" s="182"/>
      <c r="J19" s="185"/>
      <c r="K19" s="186"/>
    </row>
    <row r="20" spans="1:11" ht="5.0999999999999996" customHeight="1" x14ac:dyDescent="0.3">
      <c r="H20" s="63"/>
      <c r="I20" s="61"/>
    </row>
    <row r="21" spans="1:11" ht="15.6" x14ac:dyDescent="0.3">
      <c r="B21" s="194" t="s">
        <v>11</v>
      </c>
      <c r="C21" s="194" t="s">
        <v>329</v>
      </c>
      <c r="D21" s="194" t="s">
        <v>111</v>
      </c>
      <c r="E21" s="194" t="s">
        <v>213</v>
      </c>
      <c r="F21" s="195">
        <v>2910</v>
      </c>
      <c r="G21" s="195" t="s">
        <v>200</v>
      </c>
      <c r="H21" s="196" t="s">
        <v>127</v>
      </c>
      <c r="I21" s="194" t="s">
        <v>214</v>
      </c>
      <c r="J21" s="190" t="s">
        <v>215</v>
      </c>
      <c r="K21" s="191"/>
    </row>
    <row r="22" spans="1:11" ht="15.6" x14ac:dyDescent="0.3">
      <c r="B22" s="194"/>
      <c r="C22" s="194"/>
      <c r="D22" s="194"/>
      <c r="E22" s="194"/>
      <c r="F22" s="195"/>
      <c r="G22" s="195"/>
      <c r="H22" s="196" t="s">
        <v>203</v>
      </c>
      <c r="I22" s="194" t="s">
        <v>216</v>
      </c>
      <c r="J22" s="191"/>
      <c r="K22" s="191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7" t="s">
        <v>217</v>
      </c>
      <c r="C24" s="197" t="s">
        <v>329</v>
      </c>
      <c r="D24" s="197" t="s">
        <v>122</v>
      </c>
      <c r="E24" s="197" t="s">
        <v>218</v>
      </c>
      <c r="F24" s="198">
        <v>2910</v>
      </c>
      <c r="G24" s="198" t="s">
        <v>200</v>
      </c>
      <c r="H24" s="200" t="s">
        <v>203</v>
      </c>
      <c r="I24" s="199" t="s">
        <v>219</v>
      </c>
      <c r="J24" s="201" t="s">
        <v>220</v>
      </c>
      <c r="K24" s="197"/>
    </row>
    <row r="25" spans="1:11" ht="4.95" customHeight="1" x14ac:dyDescent="0.3">
      <c r="H25" s="63"/>
      <c r="I25" s="61"/>
    </row>
    <row r="26" spans="1:11" ht="15.6" x14ac:dyDescent="0.3">
      <c r="B26" s="194" t="s">
        <v>221</v>
      </c>
      <c r="C26" s="194" t="s">
        <v>329</v>
      </c>
      <c r="D26" s="194" t="s">
        <v>72</v>
      </c>
      <c r="E26" s="194" t="s">
        <v>222</v>
      </c>
      <c r="F26" s="195">
        <v>2910</v>
      </c>
      <c r="G26" s="195" t="s">
        <v>200</v>
      </c>
      <c r="H26" s="196"/>
      <c r="I26" s="194" t="s">
        <v>223</v>
      </c>
      <c r="J26" s="190" t="s">
        <v>224</v>
      </c>
      <c r="K26" s="191"/>
    </row>
    <row r="27" spans="1:11" ht="4.95" customHeight="1" x14ac:dyDescent="0.3">
      <c r="B27" s="191"/>
      <c r="C27" s="191"/>
      <c r="D27" s="191"/>
      <c r="E27" s="191"/>
      <c r="F27" s="210"/>
      <c r="G27" s="210"/>
      <c r="H27" s="196"/>
      <c r="I27" s="194"/>
      <c r="J27" s="190"/>
      <c r="K27" s="191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2" t="s">
        <v>39</v>
      </c>
      <c r="C29" s="197" t="s">
        <v>329</v>
      </c>
      <c r="D29" s="182" t="s">
        <v>150</v>
      </c>
      <c r="E29" s="182" t="s">
        <v>342</v>
      </c>
      <c r="F29" s="183">
        <v>2950</v>
      </c>
      <c r="G29" s="183" t="s">
        <v>343</v>
      </c>
      <c r="H29" s="184" t="s">
        <v>203</v>
      </c>
      <c r="I29" s="182" t="s">
        <v>328</v>
      </c>
      <c r="J29" s="185" t="s">
        <v>225</v>
      </c>
      <c r="K29" s="186"/>
    </row>
    <row r="30" spans="1:11" ht="4.95" customHeight="1" x14ac:dyDescent="0.3">
      <c r="B30" s="186"/>
      <c r="C30" s="186"/>
      <c r="D30" s="186"/>
      <c r="E30" s="186"/>
      <c r="F30" s="193"/>
      <c r="G30" s="193"/>
      <c r="H30" s="184"/>
      <c r="I30" s="182"/>
      <c r="J30" s="185"/>
      <c r="K30" s="186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4" t="s">
        <v>226</v>
      </c>
      <c r="C32" s="194" t="s">
        <v>329</v>
      </c>
      <c r="D32" s="204" t="s">
        <v>367</v>
      </c>
      <c r="E32" s="204" t="s">
        <v>368</v>
      </c>
      <c r="F32" s="205">
        <v>2910</v>
      </c>
      <c r="G32" s="205" t="s">
        <v>200</v>
      </c>
      <c r="H32" s="206" t="s">
        <v>203</v>
      </c>
      <c r="I32" s="204" t="s">
        <v>369</v>
      </c>
      <c r="J32" s="207" t="s">
        <v>370</v>
      </c>
      <c r="K32" s="202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9" t="s">
        <v>227</v>
      </c>
      <c r="C34" s="197" t="s">
        <v>329</v>
      </c>
      <c r="D34" s="199" t="s">
        <v>162</v>
      </c>
      <c r="E34" s="199" t="s">
        <v>228</v>
      </c>
      <c r="F34" s="208">
        <v>2910</v>
      </c>
      <c r="G34" s="208" t="s">
        <v>200</v>
      </c>
      <c r="H34" s="200" t="s">
        <v>203</v>
      </c>
      <c r="I34" s="199" t="s">
        <v>229</v>
      </c>
      <c r="J34" s="201" t="s">
        <v>230</v>
      </c>
      <c r="K34" s="197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4" t="s">
        <v>12</v>
      </c>
      <c r="C36" s="194" t="s">
        <v>329</v>
      </c>
      <c r="D36" s="194" t="s">
        <v>170</v>
      </c>
      <c r="E36" s="194" t="s">
        <v>231</v>
      </c>
      <c r="F36" s="195">
        <v>2910</v>
      </c>
      <c r="G36" s="195" t="s">
        <v>200</v>
      </c>
      <c r="H36" s="196"/>
      <c r="I36" s="194" t="s">
        <v>232</v>
      </c>
      <c r="J36" s="190" t="s">
        <v>233</v>
      </c>
      <c r="K36" s="191"/>
    </row>
    <row r="37" spans="1:11" ht="15.6" x14ac:dyDescent="0.3">
      <c r="B37" s="194"/>
      <c r="C37" s="194"/>
      <c r="D37" s="194"/>
      <c r="E37" s="194"/>
      <c r="F37" s="195"/>
      <c r="G37" s="195"/>
      <c r="H37" s="196" t="s">
        <v>203</v>
      </c>
      <c r="I37" s="194" t="s">
        <v>234</v>
      </c>
      <c r="J37" s="191"/>
      <c r="K37" s="191"/>
    </row>
    <row r="38" spans="1:11" ht="5.0999999999999996" customHeight="1" x14ac:dyDescent="0.3">
      <c r="H38" s="63"/>
      <c r="I38" s="61"/>
    </row>
    <row r="39" spans="1:11" ht="15.6" x14ac:dyDescent="0.3">
      <c r="B39" s="186" t="s">
        <v>8</v>
      </c>
      <c r="C39" s="197" t="s">
        <v>329</v>
      </c>
      <c r="D39" s="186" t="s">
        <v>182</v>
      </c>
      <c r="E39" s="186" t="s">
        <v>235</v>
      </c>
      <c r="F39" s="193">
        <v>2910</v>
      </c>
      <c r="G39" s="193" t="s">
        <v>200</v>
      </c>
      <c r="H39" s="184"/>
      <c r="I39" s="182" t="s">
        <v>236</v>
      </c>
      <c r="J39" s="185" t="s">
        <v>237</v>
      </c>
      <c r="K39" s="186"/>
    </row>
    <row r="40" spans="1:11" ht="15.6" x14ac:dyDescent="0.3">
      <c r="B40" s="186"/>
      <c r="C40" s="186"/>
      <c r="D40" s="186"/>
      <c r="E40" s="186"/>
      <c r="F40" s="193"/>
      <c r="G40" s="193"/>
      <c r="H40" s="184" t="s">
        <v>203</v>
      </c>
      <c r="I40" s="182" t="s">
        <v>332</v>
      </c>
      <c r="J40" s="186"/>
      <c r="K40" s="186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2" t="s">
        <v>293</v>
      </c>
      <c r="C42" s="194" t="s">
        <v>329</v>
      </c>
      <c r="D42" s="202" t="s">
        <v>187</v>
      </c>
      <c r="E42" s="204" t="s">
        <v>296</v>
      </c>
      <c r="F42" s="203">
        <v>2910</v>
      </c>
      <c r="G42" s="203" t="s">
        <v>200</v>
      </c>
      <c r="H42" s="206" t="s">
        <v>203</v>
      </c>
      <c r="I42" s="204" t="s">
        <v>333</v>
      </c>
      <c r="J42" s="207" t="s">
        <v>331</v>
      </c>
      <c r="K42" s="202"/>
    </row>
    <row r="43" spans="1:11" ht="4.95" customHeight="1" x14ac:dyDescent="0.3">
      <c r="B43" s="191"/>
      <c r="C43" s="191"/>
      <c r="D43" s="191"/>
      <c r="E43" s="191"/>
      <c r="F43" s="210"/>
      <c r="G43" s="210"/>
      <c r="H43" s="196"/>
      <c r="I43" s="194"/>
      <c r="J43" s="190"/>
      <c r="K43" s="191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2" t="s">
        <v>305</v>
      </c>
      <c r="C2" s="322"/>
      <c r="D2" s="322"/>
      <c r="E2" s="322"/>
      <c r="F2" s="322"/>
      <c r="G2" s="322"/>
      <c r="H2" s="322"/>
      <c r="J2" s="114"/>
    </row>
    <row r="3" spans="2:10" s="59" customFormat="1" ht="24.9" customHeight="1" x14ac:dyDescent="0.4">
      <c r="B3" s="322" t="s">
        <v>238</v>
      </c>
      <c r="C3" s="322"/>
      <c r="D3" s="322"/>
      <c r="E3" s="322"/>
      <c r="F3" s="322"/>
      <c r="G3" s="322"/>
      <c r="H3" s="322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293</v>
      </c>
      <c r="C19" s="61" t="s">
        <v>294</v>
      </c>
      <c r="D19" s="61" t="s">
        <v>295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348</v>
      </c>
      <c r="I30" s="60" t="s">
        <v>347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2025-09-17T22:20:56Z</cp:lastPrinted>
  <dcterms:created xsi:type="dcterms:W3CDTF">2017-09-04T07:39:22Z</dcterms:created>
  <dcterms:modified xsi:type="dcterms:W3CDTF">2025-10-31T08:34:18Z</dcterms:modified>
  <cp:category/>
  <cp:contentStatus/>
</cp:coreProperties>
</file>