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98F6C98F-F6B1-49AB-8026-8E6221FB9F3A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28680" yWindow="-120" windowWidth="30960" windowHeight="16800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10" i="13" l="1"/>
  <c r="S10" i="13"/>
  <c r="E175" i="17" l="1"/>
  <c r="AD174" i="17"/>
  <c r="AC174" i="17"/>
  <c r="AB174" i="17"/>
  <c r="AA174" i="17"/>
  <c r="Z174" i="17"/>
  <c r="Y174" i="17"/>
  <c r="X174" i="17"/>
  <c r="W174" i="17"/>
  <c r="V174" i="17"/>
  <c r="U174" i="17"/>
  <c r="T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C173" i="17"/>
  <c r="E173" i="17"/>
  <c r="A173" i="17" s="1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91" i="17" l="1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E2" i="22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S174" i="17" l="1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P14" i="7"/>
  <c r="Q14" i="7"/>
  <c r="P18" i="7"/>
  <c r="Q18" i="7"/>
  <c r="P5" i="8"/>
  <c r="AL5" i="8" s="1"/>
  <c r="C117" i="17" s="1"/>
  <c r="Q5" i="8"/>
  <c r="AM5" i="8" s="1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Q13" i="8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AL5" i="15" s="1"/>
  <c r="C85" i="17" s="1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P9" i="1"/>
  <c r="Q9" i="1"/>
  <c r="P10" i="1"/>
  <c r="Q10" i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L5" i="3" l="1"/>
  <c r="AM10" i="1"/>
  <c r="AM6" i="8"/>
  <c r="AJ15" i="9"/>
  <c r="AJ14" i="9"/>
  <c r="AJ5" i="6"/>
  <c r="AL10" i="12"/>
  <c r="AJ6" i="12"/>
  <c r="AM17" i="23"/>
  <c r="AJ17" i="23"/>
  <c r="AJ5" i="23"/>
  <c r="AM5" i="23"/>
  <c r="AJ10" i="8"/>
  <c r="AM7" i="8"/>
  <c r="AM13" i="8"/>
  <c r="AO13" i="8" s="1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M12" i="13"/>
  <c r="AO12" i="13" s="1"/>
  <c r="AM6" i="13"/>
  <c r="AM10" i="5"/>
  <c r="AN10" i="5" s="1"/>
  <c r="AJ15" i="3"/>
  <c r="AM14" i="3"/>
  <c r="AJ14" i="3"/>
  <c r="AJ12" i="3"/>
  <c r="AM8" i="23"/>
  <c r="AO8" i="23" s="1"/>
  <c r="R10" i="23"/>
  <c r="AL8" i="23"/>
  <c r="AM13" i="23"/>
  <c r="AM11" i="23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N6" i="5" s="1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R18" i="13"/>
  <c r="AM14" i="13"/>
  <c r="R9" i="13"/>
  <c r="AM9" i="13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12" i="13"/>
  <c r="AN6" i="13"/>
  <c r="AO6" i="13"/>
  <c r="AL17" i="12"/>
  <c r="AL5" i="12"/>
  <c r="AL7" i="3"/>
  <c r="AN15" i="15"/>
  <c r="AO15" i="15"/>
  <c r="AN9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O6" i="5" l="1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20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2" i="18" l="1"/>
  <c r="H16" i="18"/>
  <c r="F16" i="18"/>
  <c r="J16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6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6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4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0" i="18"/>
  <c r="B116" i="17"/>
  <c r="A116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J4" i="23"/>
  <c r="C184" i="17"/>
  <c r="C182" i="17"/>
  <c r="C185" i="17"/>
  <c r="AI19" i="23"/>
  <c r="C186" i="17"/>
  <c r="AL4" i="23"/>
  <c r="C178" i="17" s="1"/>
  <c r="C193" i="17" l="1"/>
  <c r="AM19" i="23"/>
  <c r="C188" i="17"/>
  <c r="AL19" i="23"/>
  <c r="E14" i="18" s="1"/>
  <c r="AJ19" i="23"/>
  <c r="AO4" i="23"/>
  <c r="AN4" i="23"/>
  <c r="R19" i="23"/>
  <c r="F14" i="18" l="1"/>
  <c r="H14" i="18"/>
  <c r="AN19" i="23"/>
  <c r="J19" i="6"/>
  <c r="I19" i="6"/>
  <c r="N19" i="15"/>
  <c r="M19" i="15"/>
  <c r="K19" i="15"/>
  <c r="I19" i="15"/>
  <c r="H19" i="15"/>
  <c r="G19" i="15"/>
  <c r="F19" i="15"/>
  <c r="E19" i="15"/>
  <c r="I14" i="18" l="1"/>
  <c r="J14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5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9" i="18"/>
  <c r="A11" i="18"/>
  <c r="A16" i="18"/>
  <c r="A9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2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0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6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9" i="17" l="1"/>
  <c r="C224" i="17"/>
  <c r="D16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9" i="18" s="1"/>
  <c r="C54" i="17"/>
  <c r="C68" i="17" s="1"/>
  <c r="AO4" i="7"/>
  <c r="AO4" i="10"/>
  <c r="AL19" i="10"/>
  <c r="E19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C175" i="17" s="1"/>
  <c r="AL19" i="15"/>
  <c r="E15" i="18" s="1"/>
  <c r="C95" i="17"/>
  <c r="D15" i="18" s="1"/>
  <c r="R19" i="15"/>
  <c r="AO4" i="15"/>
  <c r="AM19" i="8"/>
  <c r="AL19" i="8"/>
  <c r="E12" i="18" s="1"/>
  <c r="C71" i="17"/>
  <c r="AL19" i="6"/>
  <c r="E11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10" i="18"/>
  <c r="I10" i="18" s="1"/>
  <c r="H10" i="18"/>
  <c r="F11" i="18"/>
  <c r="H11" i="18"/>
  <c r="F12" i="18"/>
  <c r="H12" i="18"/>
  <c r="E16" i="18"/>
  <c r="H19" i="18"/>
  <c r="F19" i="18"/>
  <c r="H20" i="18"/>
  <c r="F20" i="18"/>
  <c r="F21" i="18"/>
  <c r="H21" i="18"/>
  <c r="F15" i="18"/>
  <c r="H15" i="18"/>
  <c r="F9" i="18"/>
  <c r="H9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9" i="18"/>
  <c r="AN19" i="7"/>
  <c r="AN19" i="13"/>
  <c r="AN19" i="12"/>
  <c r="D12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1" i="18" s="1"/>
  <c r="AI19" i="1"/>
  <c r="C4" i="17"/>
  <c r="AL19" i="4"/>
  <c r="E18" i="18" s="1"/>
  <c r="D19" i="18"/>
  <c r="AN19" i="8"/>
  <c r="D14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10" i="18"/>
  <c r="J11" i="18"/>
  <c r="I11" i="18"/>
  <c r="I12" i="18"/>
  <c r="J12" i="18"/>
  <c r="H13" i="18"/>
  <c r="F13" i="18"/>
  <c r="I19" i="18"/>
  <c r="J19" i="18"/>
  <c r="J20" i="18"/>
  <c r="I20" i="18"/>
  <c r="I9" i="18"/>
  <c r="J9" i="18"/>
  <c r="J15" i="18"/>
  <c r="I15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7" i="18"/>
  <c r="M81" i="17"/>
  <c r="C113" i="17"/>
  <c r="M17" i="18" s="1"/>
  <c r="AN19" i="3"/>
  <c r="AN19" i="4"/>
  <c r="AJ19" i="1"/>
  <c r="AM19" i="1"/>
  <c r="P19" i="1"/>
  <c r="AL4" i="1"/>
  <c r="C146" i="17" s="1"/>
  <c r="C158" i="17" s="1"/>
  <c r="D17" i="18" s="1"/>
  <c r="Q19" i="1"/>
  <c r="M20" i="18" l="1"/>
  <c r="M15" i="18"/>
  <c r="M9" i="18"/>
  <c r="I13" i="18"/>
  <c r="J13" i="18"/>
  <c r="E88" i="22"/>
  <c r="M19" i="18"/>
  <c r="M21" i="18"/>
  <c r="M12" i="18"/>
  <c r="M13" i="18"/>
  <c r="M11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Q175" i="17" l="1"/>
  <c r="R175" i="17" s="1"/>
  <c r="M10" i="18"/>
  <c r="F17" i="18"/>
  <c r="H17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4" i="18"/>
  <c r="A15" i="18"/>
  <c r="L10" i="18" l="1"/>
  <c r="M16" i="18"/>
  <c r="E106" i="22"/>
  <c r="D141" i="22"/>
  <c r="D106" i="22"/>
  <c r="E104" i="22"/>
  <c r="I17" i="18"/>
  <c r="J17" i="18"/>
  <c r="L17" i="18"/>
  <c r="M14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0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L21" i="18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11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9" i="18"/>
  <c r="L19" i="18" l="1"/>
  <c r="L18" i="18"/>
</calcChain>
</file>

<file path=xl/sharedStrings.xml><?xml version="1.0" encoding="utf-8"?>
<sst xmlns="http://schemas.openxmlformats.org/spreadsheetml/2006/main" count="1114" uniqueCount="375">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</sst>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35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2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5" fillId="0" borderId="38" xfId="0" applyFont="1" applyBorder="1" applyAlignment="1">
      <alignment horizontal="center"/>
    </xf>
    <xf numFmtId="1" fontId="75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1" fontId="7" fillId="0" borderId="30" xfId="0" applyNumberFormat="1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6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40" zoomScaleNormal="140" workbookViewId="0">
      <selection activeCell="E2" sqref="E2"/>
    </sheetView>
  </sheetViews>
  <sheetFormatPr defaultRowHeight="15" x14ac:dyDescent="0.25"/>
  <cols>
    <col min="1" max="1" width="8.28515625" customWidth="1"/>
    <col min="2" max="2" width="7.28515625" style="47" customWidth="1"/>
    <col min="3" max="3" width="33.7109375" customWidth="1"/>
    <col min="4" max="4" width="16.7109375" customWidth="1"/>
    <col min="5" max="5" width="17" customWidth="1"/>
    <col min="6" max="6" width="10.140625" bestFit="1" customWidth="1"/>
    <col min="7" max="7" width="14.7109375" customWidth="1"/>
    <col min="8" max="8" width="10.140625" bestFit="1" customWidth="1"/>
    <col min="9" max="10" width="9.28515625" customWidth="1"/>
    <col min="11" max="11" width="0.85546875" customWidth="1"/>
    <col min="12" max="12" width="8.85546875" customWidth="1"/>
  </cols>
  <sheetData>
    <row r="1" spans="1:20" ht="17.25" customHeight="1" x14ac:dyDescent="0.25">
      <c r="A1" s="289">
        <v>0</v>
      </c>
      <c r="B1" s="284" t="s">
        <v>304</v>
      </c>
      <c r="C1" s="285"/>
      <c r="D1" s="285"/>
    </row>
    <row r="2" spans="1:20" ht="17.25" customHeight="1" x14ac:dyDescent="0.25">
      <c r="A2" s="290"/>
      <c r="B2" s="285"/>
      <c r="C2" s="285"/>
      <c r="D2" s="285"/>
      <c r="E2" s="229" t="s">
        <v>334</v>
      </c>
    </row>
    <row r="3" spans="1:20" ht="21" customHeight="1" x14ac:dyDescent="0.3">
      <c r="B3" s="286" t="s">
        <v>0</v>
      </c>
      <c r="C3" s="286"/>
      <c r="D3" s="287"/>
      <c r="E3" s="264">
        <v>46038</v>
      </c>
    </row>
    <row r="4" spans="1:20" ht="16.149999999999999" customHeight="1" x14ac:dyDescent="0.4">
      <c r="B4" s="288" t="str">
        <f>IF(A8=26,"EINDSTAND", "TUSSENSTAND"  )</f>
        <v>TUSSENSTAND</v>
      </c>
      <c r="C4" s="288"/>
      <c r="D4" s="288"/>
      <c r="E4" t="s">
        <v>372</v>
      </c>
      <c r="K4" s="46"/>
    </row>
    <row r="5" spans="1:20" ht="25.15" customHeight="1" thickBot="1" x14ac:dyDescent="0.45">
      <c r="B5" s="288"/>
      <c r="C5" s="288"/>
      <c r="D5" s="288"/>
      <c r="E5" s="108"/>
      <c r="F5" s="108"/>
      <c r="G5" s="108"/>
      <c r="H5" s="108"/>
      <c r="I5" s="108"/>
      <c r="J5" s="108"/>
      <c r="K5" s="228"/>
      <c r="L5" s="255" t="s">
        <v>354</v>
      </c>
      <c r="M5" s="255" t="s">
        <v>355</v>
      </c>
      <c r="N5" s="108"/>
      <c r="O5" s="108"/>
    </row>
    <row r="6" spans="1:20" s="45" customFormat="1" ht="25.5" customHeight="1" thickBot="1" x14ac:dyDescent="0.4">
      <c r="B6" s="90" t="s">
        <v>1</v>
      </c>
      <c r="C6" s="48" t="s">
        <v>2</v>
      </c>
      <c r="D6" s="226" t="s">
        <v>3</v>
      </c>
      <c r="E6" s="248" t="s">
        <v>349</v>
      </c>
      <c r="F6" s="283" t="s">
        <v>348</v>
      </c>
      <c r="G6" s="283"/>
      <c r="H6" s="283"/>
      <c r="I6" s="253" t="s">
        <v>352</v>
      </c>
      <c r="J6" s="254" t="s">
        <v>353</v>
      </c>
      <c r="K6" s="238"/>
      <c r="L6" s="256">
        <v>15</v>
      </c>
      <c r="M6" s="256">
        <v>15</v>
      </c>
      <c r="N6" s="238"/>
      <c r="O6" s="238"/>
      <c r="P6" s="238"/>
      <c r="Q6" s="238"/>
      <c r="R6" s="238"/>
      <c r="S6" s="236"/>
      <c r="T6" s="236"/>
    </row>
    <row r="7" spans="1:20" s="221" customFormat="1" ht="6.75" customHeight="1" x14ac:dyDescent="0.25">
      <c r="B7" s="222"/>
      <c r="E7" s="249"/>
      <c r="F7" s="249"/>
      <c r="G7" s="249"/>
      <c r="H7" s="249"/>
      <c r="I7" s="239"/>
      <c r="J7" s="239"/>
      <c r="K7" s="239"/>
      <c r="L7" s="239"/>
      <c r="M7" s="239" t="s">
        <v>367</v>
      </c>
      <c r="N7" s="239"/>
      <c r="O7" s="239"/>
      <c r="P7" s="239"/>
      <c r="Q7" s="239"/>
      <c r="R7" s="239"/>
      <c r="S7" s="237"/>
      <c r="T7" s="237"/>
    </row>
    <row r="8" spans="1:20" s="44" customFormat="1" ht="19.149999999999999" customHeight="1" x14ac:dyDescent="0.3">
      <c r="A8" s="218">
        <f>COUNTIF(Punten!$E$208:'Punten'!$AD$208,"&gt;0")</f>
        <v>15</v>
      </c>
      <c r="B8" s="219" t="s">
        <v>4</v>
      </c>
      <c r="C8" s="242" t="s">
        <v>8</v>
      </c>
      <c r="D8" s="234">
        <f>Punten!$C$209</f>
        <v>988.36799999999994</v>
      </c>
      <c r="E8" s="250">
        <f>Wildert2!$AL$19</f>
        <v>3989</v>
      </c>
      <c r="F8" s="240" t="str">
        <f>INDEX(Wildert2!$A$4:$A$18,MATCH(MAX(Wildert2!$AO$4:$AO$18),Wildert2!$AO$4:$AO$18,0))</f>
        <v>Van Den Bergh Jacky</v>
      </c>
      <c r="G8" s="244"/>
      <c r="H8" s="251">
        <f>MAX(Wildert2!$AO$4:$AO$18)</f>
        <v>152.75229357798165</v>
      </c>
      <c r="I8" s="259">
        <f>VLOOKUP($F8,Wildert2!$A$4:$AO$18,40,0)</f>
        <v>166.5</v>
      </c>
      <c r="J8" s="260">
        <f>VLOOKUP($F8,Wildert2!$A$4:$AO$18,39,0)</f>
        <v>2</v>
      </c>
      <c r="K8" s="241"/>
      <c r="L8" s="257">
        <f>VLOOKUP($C8,Punten!$D$4:$AD$224,1+$L$6,0)</f>
        <v>988.36800000000028</v>
      </c>
      <c r="M8" s="257">
        <f>VLOOKUP($C8,Punten!$C$4:$AD$224,2+$M$6,0)</f>
        <v>72.954999999999998</v>
      </c>
      <c r="N8" s="241"/>
      <c r="O8" s="241"/>
      <c r="P8" s="241"/>
      <c r="Q8" s="241"/>
      <c r="R8" s="241"/>
      <c r="S8" s="233"/>
      <c r="T8" s="233"/>
    </row>
    <row r="9" spans="1:20" s="44" customFormat="1" ht="20.100000000000001" customHeight="1" x14ac:dyDescent="0.3">
      <c r="A9" s="244">
        <f>COUNTIF(Punten!$E$67:'Punten'!$AD$67,"&gt;0")</f>
        <v>15</v>
      </c>
      <c r="B9" s="245" t="s">
        <v>4</v>
      </c>
      <c r="C9" s="246" t="s">
        <v>13</v>
      </c>
      <c r="D9" s="247">
        <f>Punten!$C$68</f>
        <v>927.44800000000009</v>
      </c>
      <c r="E9" s="250">
        <f>Meeuwen2!$AL$19</f>
        <v>3336</v>
      </c>
      <c r="F9" s="240" t="str">
        <f>INDEX(Meeuwen2!$A$4:$A$18,MATCH(MAX(Meeuwen2!$AO$4:$AO$18),Meeuwen2!$AO$4:$AO$18,0))</f>
        <v>De Backer Jerome</v>
      </c>
      <c r="G9" s="252"/>
      <c r="H9" s="251">
        <f>MAX(Meeuwen2!$AO$4:$AO$18)</f>
        <v>129.16666666666669</v>
      </c>
      <c r="I9" s="259">
        <f>VLOOKUP($F9,Meeuwen2!$A$4:$AO$18,40,0)</f>
        <v>49.083333333333336</v>
      </c>
      <c r="J9" s="260">
        <f>VLOOKUP($F9,Meeuwen2!$A$4:$AO$18,39,0)</f>
        <v>12</v>
      </c>
      <c r="K9" s="241"/>
      <c r="L9" s="257">
        <f>VLOOKUP($C9,Punten!$D$4:$AD$224,1+$L$6,0)</f>
        <v>927.44799999999998</v>
      </c>
      <c r="M9" s="257">
        <f>VLOOKUP($C9,Punten!$C$4:$AD$224,2+$M$6,0)</f>
        <v>69.942999999999998</v>
      </c>
      <c r="N9" s="241"/>
      <c r="O9" s="241"/>
      <c r="P9" s="241"/>
      <c r="Q9" s="241"/>
      <c r="R9" s="241"/>
      <c r="S9" s="233"/>
      <c r="T9" s="233"/>
    </row>
    <row r="10" spans="1:20" s="44" customFormat="1" ht="20.100000000000001" customHeight="1" x14ac:dyDescent="0.3">
      <c r="A10" s="218">
        <f>COUNTIF(Punten!E174:'Punten'!AD174,"&gt;0")</f>
        <v>15</v>
      </c>
      <c r="B10" s="219" t="s">
        <v>4</v>
      </c>
      <c r="C10" s="242" t="s">
        <v>14</v>
      </c>
      <c r="D10" s="227">
        <f>Punten!$C$175</f>
        <v>923.09499999999991</v>
      </c>
      <c r="E10" s="250">
        <f>Putte!$AL$19</f>
        <v>2969</v>
      </c>
      <c r="F10" s="240" t="str">
        <f>INDEX(Putte!$A$4:$A$18,MATCH(MAX(Putte!$AO$4:$AO$18),Putte!$AO$4:$AO$18,0))</f>
        <v>Van Den Bleeken Eddy</v>
      </c>
      <c r="G10" s="244"/>
      <c r="H10" s="251">
        <f>MAX(Putte!$AO$4:$AO$18)</f>
        <v>124.24242424242425</v>
      </c>
      <c r="I10" s="259">
        <f>VLOOKUP($F10,Putte!$A$4:$AO$18,40,0)</f>
        <v>27.333333333333332</v>
      </c>
      <c r="J10" s="260">
        <f>VLOOKUP($F10,Putte!$A$4:$AO$18,39,0)</f>
        <v>6</v>
      </c>
      <c r="K10" s="241"/>
      <c r="L10" s="257">
        <f>VLOOKUP($C10,Punten!$D$4:$AD$224,1+$L$6,0)</f>
        <v>923.09500000000003</v>
      </c>
      <c r="M10" s="257">
        <f>VLOOKUP($C10,Punten!$C$4:$AD$224,2+$M$6,0)</f>
        <v>61.230000000000004</v>
      </c>
      <c r="N10" s="241"/>
      <c r="O10" s="241"/>
      <c r="P10" s="241"/>
      <c r="Q10" s="241"/>
      <c r="R10" s="241"/>
      <c r="S10" s="233"/>
      <c r="T10" s="233"/>
    </row>
    <row r="11" spans="1:20" s="44" customFormat="1" ht="20.100000000000001" customHeight="1" x14ac:dyDescent="0.3">
      <c r="A11" s="218">
        <f>COUNTIF(Punten!$E$80:'Punten'!$AD$80,"&gt;0")</f>
        <v>15</v>
      </c>
      <c r="B11" s="219" t="s">
        <v>4</v>
      </c>
      <c r="C11" s="242" t="s">
        <v>11</v>
      </c>
      <c r="D11" s="227">
        <f>Punten!$C$81</f>
        <v>920.18700000000013</v>
      </c>
      <c r="E11" s="250">
        <f>Molenheike!$AL$19</f>
        <v>3628</v>
      </c>
      <c r="F11" s="240" t="str">
        <f>INDEX(Molenheike!$A$4:$A$18,MATCH(MAX(Molenheike!$AO$4:$AO$18),Molenheike!$AO$4:$AO$18,0))</f>
        <v>Keuppens Marc</v>
      </c>
      <c r="G11" s="244"/>
      <c r="H11" s="251">
        <f>MAX(Molenheike!$AO$4:$AO$18)</f>
        <v>116.36363636363636</v>
      </c>
      <c r="I11" s="259">
        <f>VLOOKUP($F11,Molenheike!$A$4:$AO$18,40,0)</f>
        <v>34.909090909090907</v>
      </c>
      <c r="J11" s="260">
        <f>VLOOKUP($F11,Molenheike!$A$4:$AO$18,39,0)</f>
        <v>11</v>
      </c>
      <c r="K11" s="241"/>
      <c r="L11" s="257">
        <f>VLOOKUP($C11,Punten!$D$4:$AD$224,1+$L$6,0)</f>
        <v>920.18700000000001</v>
      </c>
      <c r="M11" s="257">
        <f>VLOOKUP($C11,Punten!$C$4:$AD$224,2+$M$6,0)</f>
        <v>64.658999999999992</v>
      </c>
      <c r="N11" s="241"/>
      <c r="O11" s="241"/>
      <c r="P11" s="241"/>
      <c r="Q11" s="241"/>
      <c r="R11" s="241"/>
      <c r="S11" s="233"/>
      <c r="T11" s="233"/>
    </row>
    <row r="12" spans="1:20" s="44" customFormat="1" ht="20.100000000000001" customHeight="1" x14ac:dyDescent="0.3">
      <c r="A12" s="218">
        <f>COUNTIF(Punten!$E$128:'Punten'!$AD$128,"&gt;0")</f>
        <v>15</v>
      </c>
      <c r="B12" s="219" t="s">
        <v>4</v>
      </c>
      <c r="C12" s="242" t="s">
        <v>15</v>
      </c>
      <c r="D12" s="227">
        <f>Punten!$C$129</f>
        <v>919.76400000000001</v>
      </c>
      <c r="E12" s="250">
        <f>Meeuwkes!$AL$19</f>
        <v>2949.0001000000002</v>
      </c>
      <c r="F12" s="240" t="str">
        <f>INDEX(Meeuwkes!$A$4:$A$18,MATCH(MAX(Meeuwkes!$AO$4:$AO$18),Meeuwkes!$AO$4:$AO$18,0))</f>
        <v>Bove René</v>
      </c>
      <c r="G12" s="244"/>
      <c r="H12" s="251">
        <f>MAX(Meeuwkes!$AO$4:$AO$18)</f>
        <v>136.66666666666666</v>
      </c>
      <c r="I12" s="259">
        <f>VLOOKUP($F12,Meeuwkes!$A$4:$AO$18,40,0)</f>
        <v>27.333333333333332</v>
      </c>
      <c r="J12" s="260">
        <f>VLOOKUP($F12,Meeuwkes!$A$4:$AO$18,39,0)</f>
        <v>6</v>
      </c>
      <c r="K12" s="241"/>
      <c r="L12" s="257">
        <f>VLOOKUP($C12,Punten!$D$4:$AD$224,1+$L$6,0)</f>
        <v>919.7639999999999</v>
      </c>
      <c r="M12" s="257">
        <f>VLOOKUP($C12,Punten!$C$4:$AD$224,2+$M$6,0)</f>
        <v>53.589999999999996</v>
      </c>
      <c r="N12" s="241"/>
      <c r="O12" s="241"/>
      <c r="P12" s="241"/>
      <c r="Q12" s="241"/>
      <c r="R12" s="241"/>
      <c r="S12" s="233"/>
      <c r="T12" s="233"/>
    </row>
    <row r="13" spans="1:20" s="44" customFormat="1" ht="20.100000000000001" customHeight="1" x14ac:dyDescent="0.3">
      <c r="A13" s="218">
        <f>COUNTIF(Punten!E112:'Punten'!AD112,"&gt;0")</f>
        <v>15</v>
      </c>
      <c r="B13" s="219" t="s">
        <v>4</v>
      </c>
      <c r="C13" s="242" t="s">
        <v>5</v>
      </c>
      <c r="D13" s="227">
        <f>Punten!$C$113</f>
        <v>906.48</v>
      </c>
      <c r="E13" s="250">
        <f>Oudeglorie!$AL$19</f>
        <v>2730</v>
      </c>
      <c r="F13" s="240" t="str">
        <f>INDEX(Oudeglorie!$A$4:$A$18,MATCH(MAX(Oudeglorie!$AO$4:$AO$18),Oudeglorie!$AO$4:$AO$18,0))</f>
        <v xml:space="preserve">Aerden Carl  </v>
      </c>
      <c r="G13" s="244"/>
      <c r="H13" s="251">
        <f>MAX(Oudeglorie!$AO$4:$AO$18)</f>
        <v>118.22916666666667</v>
      </c>
      <c r="I13" s="259">
        <f>VLOOKUP($F13,Oudeglorie!$A$4:$AO$18,40,0)</f>
        <v>28.375</v>
      </c>
      <c r="J13" s="260">
        <f>VLOOKUP($F13,Oudeglorie!$A$4:$AO$18,39,0)</f>
        <v>8</v>
      </c>
      <c r="K13" s="241"/>
      <c r="L13" s="257">
        <f>VLOOKUP($C13,Punten!$D$4:$AD$224,1+$L$6,0)</f>
        <v>906.48000000000013</v>
      </c>
      <c r="M13" s="257">
        <f>VLOOKUP($C13,Punten!$C$4:$AD$224,2+$M$6,0)</f>
        <v>50.805999999999997</v>
      </c>
      <c r="N13" s="241"/>
      <c r="O13" s="241"/>
      <c r="P13" s="241"/>
      <c r="Q13" s="241"/>
      <c r="R13" s="241"/>
      <c r="S13" s="233"/>
      <c r="T13" s="233"/>
    </row>
    <row r="14" spans="1:20" s="44" customFormat="1" ht="20.100000000000001" customHeight="1" x14ac:dyDescent="0.3">
      <c r="A14" s="218">
        <f>COUNTIF(Punten!$E$192:'Punten'!$AD$192,"&gt;0")</f>
        <v>15</v>
      </c>
      <c r="B14" s="219" t="s">
        <v>4</v>
      </c>
      <c r="C14" s="243" t="s">
        <v>12</v>
      </c>
      <c r="D14" s="234">
        <f>Punten!$C$193</f>
        <v>890.11099999999988</v>
      </c>
      <c r="E14" s="250">
        <f>Wildert1!$AL$19</f>
        <v>3087</v>
      </c>
      <c r="F14" s="240" t="str">
        <f>INDEX(Wildert1!$A$4:$A$18,MATCH(MAX(Wildert1!$AO$4:$AO$18),Wildert1!$AO$4:$AO$18,0))</f>
        <v xml:space="preserve">Konings Guido </v>
      </c>
      <c r="G14" s="244"/>
      <c r="H14" s="251">
        <f>MAX(Wildert1!$AO$4:$AO$18)</f>
        <v>136.80555555555557</v>
      </c>
      <c r="I14" s="259">
        <f>VLOOKUP($F14,Wildert1!$A$4:$AO$18,40,0)</f>
        <v>32.833333333333336</v>
      </c>
      <c r="J14" s="260">
        <f>VLOOKUP($F14,Wildert1!$A$4:$AO$18,39,0)</f>
        <v>6</v>
      </c>
      <c r="K14" s="241"/>
      <c r="L14" s="257">
        <f>VLOOKUP($C14,Punten!$D$4:$AD$224,1+$L$6,0)</f>
        <v>890.11099999999988</v>
      </c>
      <c r="M14" s="257">
        <f>VLOOKUP($C14,Punten!$C$4:$AD$224,2+$M$6,0)</f>
        <v>67.207999999999998</v>
      </c>
      <c r="N14" s="241"/>
      <c r="O14" s="241"/>
      <c r="P14" s="241"/>
      <c r="Q14" s="241"/>
      <c r="R14" s="241"/>
      <c r="S14" s="233"/>
      <c r="T14" s="233"/>
    </row>
    <row r="15" spans="1:20" s="44" customFormat="1" ht="20.100000000000001" customHeight="1" x14ac:dyDescent="0.3">
      <c r="A15" s="244">
        <f>COUNTIF(Punten!$E$94:'Punten'!$AD$94,"&gt;0")</f>
        <v>15</v>
      </c>
      <c r="B15" s="245" t="s">
        <v>4</v>
      </c>
      <c r="C15" s="246" t="s">
        <v>290</v>
      </c>
      <c r="D15" s="247">
        <f>Punten!$C$95</f>
        <v>885.68599999999992</v>
      </c>
      <c r="E15" s="250">
        <f>Nispen!$AL$19</f>
        <v>2935</v>
      </c>
      <c r="F15" s="240" t="str">
        <f>INDEX(Nispen!$A$4:$A$18,MATCH(MAX(Nispen!$AO$4:$AO$18),Nispen!$AO$4:$AO$18,0))</f>
        <v>Brouwers Vic</v>
      </c>
      <c r="G15" s="244"/>
      <c r="H15" s="251">
        <f>MAX(Nispen!$AO$4:$AO$18)</f>
        <v>112.92016806722688</v>
      </c>
      <c r="I15" s="259">
        <f>VLOOKUP($F15,Nispen!$A$4:$AO$18,40,0)</f>
        <v>76.785714285714292</v>
      </c>
      <c r="J15" s="260">
        <f>VLOOKUP($F15,Nispen!$A$4:$AO$18,39,0)</f>
        <v>14</v>
      </c>
      <c r="K15" s="241"/>
      <c r="L15" s="257">
        <f>VLOOKUP($C15,Punten!$D$4:$AD$224,1+$L$6,0)</f>
        <v>885.68599999999992</v>
      </c>
      <c r="M15" s="257">
        <f>VLOOKUP($C15,Punten!$C$4:$AD$224,2+$M$6,0)</f>
        <v>56.518000000000001</v>
      </c>
      <c r="N15" s="241"/>
      <c r="O15" s="241"/>
      <c r="P15" s="241"/>
      <c r="Q15" s="241"/>
      <c r="R15" s="241"/>
      <c r="S15" s="233"/>
      <c r="T15" s="233"/>
    </row>
    <row r="16" spans="1:20" s="44" customFormat="1" ht="20.100000000000001" customHeight="1" x14ac:dyDescent="0.3">
      <c r="A16" s="218">
        <f>COUNTIF(Punten!$E$223:'Punten'!$AD$223,"&gt;0")</f>
        <v>15</v>
      </c>
      <c r="B16" s="219" t="s">
        <v>4</v>
      </c>
      <c r="C16" s="242" t="s">
        <v>291</v>
      </c>
      <c r="D16" s="227">
        <f>Punten!$C$224</f>
        <v>882.62600000000009</v>
      </c>
      <c r="E16" s="250">
        <f>DeBeek!$AL$19</f>
        <v>2864</v>
      </c>
      <c r="F16" s="240" t="str">
        <f>INDEX(DeBeek!$A$4:$A$18,MATCH(MAX(DeBeek!$AO$4:$AO$18),DeBeek!$AO$4:$AO$18,0))</f>
        <v xml:space="preserve">Heyndrickx Alfons   </v>
      </c>
      <c r="G16" s="244"/>
      <c r="H16" s="251">
        <f>MAX(DeBeek!$AO$4:$AO$18)</f>
        <v>116.66666666666667</v>
      </c>
      <c r="I16" s="259">
        <f>VLOOKUP($F16,DeBeek!$A$4:$AO$18,40,0)</f>
        <v>30.333333333333332</v>
      </c>
      <c r="J16" s="260">
        <f>VLOOKUP($F16,DeBeek!$A$4:$AO$18,39,0)</f>
        <v>9</v>
      </c>
      <c r="K16" s="241"/>
      <c r="L16" s="257">
        <f>VLOOKUP($C16,Punten!$D$4:$AD$224,1+$L$6,0)</f>
        <v>882.62599999999998</v>
      </c>
      <c r="M16" s="257">
        <f>VLOOKUP($C16,Punten!$C$4:$AD$224,2+$M$6,0)</f>
        <v>59.389000000000003</v>
      </c>
      <c r="N16" s="241"/>
      <c r="O16" s="241"/>
      <c r="P16" s="241"/>
      <c r="Q16" s="241"/>
      <c r="R16" s="241" t="s">
        <v>368</v>
      </c>
      <c r="S16" s="233"/>
      <c r="T16" s="233"/>
    </row>
    <row r="17" spans="1:20" s="44" customFormat="1" ht="20.100000000000001" customHeight="1" x14ac:dyDescent="0.3">
      <c r="A17" s="244">
        <f>COUNTIF(Punten!$E$157:'Punten'!$AD$157,"&gt;0")</f>
        <v>15</v>
      </c>
      <c r="B17" s="245" t="s">
        <v>4</v>
      </c>
      <c r="C17" s="246" t="s">
        <v>9</v>
      </c>
      <c r="D17" s="247">
        <f>Punten!$C$158</f>
        <v>873.52199999999993</v>
      </c>
      <c r="E17" s="250">
        <f>Rooiebal2!$AL$19</f>
        <v>2664</v>
      </c>
      <c r="F17" s="240" t="str">
        <f>INDEX(Rooiebal2!$A$4:$A$18,MATCH(MAX(Rooiebal2!$AO$4:$AO$18),Rooiebal2!$AO$4:$AO$18,0))</f>
        <v xml:space="preserve">Donckers Johnny </v>
      </c>
      <c r="G17" s="244"/>
      <c r="H17" s="251">
        <f>MAX(Rooiebal2!$AO$4:$AO$18)</f>
        <v>129.81818181818181</v>
      </c>
      <c r="I17" s="259">
        <f>VLOOKUP($F17,Rooiebal2!$A$4:$AO$18,40,0)</f>
        <v>32.454545454545453</v>
      </c>
      <c r="J17" s="260">
        <f>VLOOKUP($F17,Rooiebal2!$A$4:$AO$18,39,0)</f>
        <v>11</v>
      </c>
      <c r="K17" s="241"/>
      <c r="L17" s="257">
        <f>VLOOKUP($C17,Punten!$D$4:$AD$224,1+$L$6,0)</f>
        <v>873.52200000000005</v>
      </c>
      <c r="M17" s="257">
        <f>VLOOKUP($C17,Punten!$C$4:$AD$224,2+$M$6,0)</f>
        <v>55.182000000000002</v>
      </c>
      <c r="N17" s="241"/>
      <c r="O17" s="241"/>
      <c r="P17" s="241"/>
      <c r="Q17" s="241"/>
      <c r="R17" s="241"/>
      <c r="S17" s="233"/>
      <c r="T17" s="233"/>
    </row>
    <row r="18" spans="1:20" s="44" customFormat="1" ht="20.100000000000001" customHeight="1" x14ac:dyDescent="0.3">
      <c r="A18" s="218">
        <f>COUNTIF(Punten!$E$16:'Punten'!$AD$16,"&gt;0")</f>
        <v>15</v>
      </c>
      <c r="B18" s="219" t="s">
        <v>4</v>
      </c>
      <c r="C18" s="243" t="s">
        <v>6</v>
      </c>
      <c r="D18" s="227">
        <f>Punten!$C$17</f>
        <v>856.77900000000011</v>
      </c>
      <c r="E18" s="250">
        <f>Horendonk!$AL$19</f>
        <v>2323</v>
      </c>
      <c r="F18" s="240" t="str">
        <f>INDEX(Horendonk!$A$4:$A$18,MATCH(MAX(Horendonk!$AO$4:$AO$18),Horendonk!$AO$4:$AO$18,0))</f>
        <v>Veraart Jef     (ns)</v>
      </c>
      <c r="G18" s="244"/>
      <c r="H18" s="251">
        <f>MAX(Horendonk!$AO$4:$AO$18)</f>
        <v>122.22222222222223</v>
      </c>
      <c r="I18" s="259">
        <f>VLOOKUP($F18,Horendonk!$A$4:$AO$18,40,0)</f>
        <v>33</v>
      </c>
      <c r="J18" s="260">
        <f>VLOOKUP($F18,Horendonk!$A$4:$AO$18,39,0)</f>
        <v>2</v>
      </c>
      <c r="K18" s="241"/>
      <c r="L18" s="257">
        <f>VLOOKUP($C18,Punten!$D$4:$AD$224,1+$L$6,0)</f>
        <v>856.779</v>
      </c>
      <c r="M18" s="257">
        <f>VLOOKUP($C18,Punten!$C$4:$AD$224,2+$M$6,0)</f>
        <v>55.895000000000003</v>
      </c>
      <c r="N18" s="241"/>
      <c r="O18" s="241"/>
      <c r="P18" s="241"/>
      <c r="Q18" s="241"/>
      <c r="R18" s="241"/>
      <c r="S18" s="233"/>
      <c r="T18" s="233"/>
    </row>
    <row r="19" spans="1:20" s="44" customFormat="1" ht="20.100000000000001" customHeight="1" x14ac:dyDescent="0.3">
      <c r="A19" s="244">
        <f>COUNTIF(Punten!$E$35:'Punten'!$AD$35,"&gt;0")</f>
        <v>15</v>
      </c>
      <c r="B19" s="245" t="s">
        <v>4</v>
      </c>
      <c r="C19" s="243" t="s">
        <v>10</v>
      </c>
      <c r="D19" s="247">
        <f>Punten!$C$36</f>
        <v>837.09099999999989</v>
      </c>
      <c r="E19" s="250">
        <f>Kerkuilen!$AL$19</f>
        <v>3705</v>
      </c>
      <c r="F19" s="240" t="str">
        <f>INDEX(Kerkuilen!$A$4:$A$18,MATCH(MAX(Kerkuilen!$AO$4:$AO$18),Kerkuilen!$AO$4:$AO$18,0))</f>
        <v>De Kaey Piet</v>
      </c>
      <c r="G19" s="244"/>
      <c r="H19" s="251">
        <f>MAX(Kerkuilen!$AO$4:$AO$18)</f>
        <v>111.53846153846155</v>
      </c>
      <c r="I19" s="259">
        <f>VLOOKUP($F19,Kerkuilen!$A$4:$AO$18,40,0)</f>
        <v>58</v>
      </c>
      <c r="J19" s="260">
        <f>VLOOKUP($F19,Kerkuilen!$A$4:$AO$18,39,0)</f>
        <v>5</v>
      </c>
      <c r="K19" s="241"/>
      <c r="L19" s="257">
        <f>VLOOKUP($C19,Punten!$D$4:$AD$224,1+$L$6,0)</f>
        <v>837.09100000000012</v>
      </c>
      <c r="M19" s="257">
        <f>VLOOKUP($C19,Punten!$C$4:$AD$224,2+$M$6,0)</f>
        <v>48.348999999999997</v>
      </c>
      <c r="N19" s="241"/>
      <c r="O19" s="241"/>
      <c r="P19" s="241"/>
      <c r="Q19" s="241"/>
      <c r="R19" s="241"/>
      <c r="S19" s="233"/>
      <c r="T19" s="233"/>
    </row>
    <row r="20" spans="1:20" s="44" customFormat="1" ht="20.100000000000001" customHeight="1" x14ac:dyDescent="0.3">
      <c r="A20" s="244">
        <f>COUNTIF(Punten!$E$142:'Punten'!$AD$142,"&gt;0")</f>
        <v>15</v>
      </c>
      <c r="B20" s="245" t="s">
        <v>4</v>
      </c>
      <c r="C20" s="243" t="s">
        <v>7</v>
      </c>
      <c r="D20" s="247">
        <f>Punten!$C$143</f>
        <v>823.00600000000009</v>
      </c>
      <c r="E20" s="250">
        <f>Rooiebal1!$AL$19</f>
        <v>2405</v>
      </c>
      <c r="F20" s="240" t="str">
        <f>INDEX(Rooiebal1!$A$4:$A$18,MATCH(MAX(Rooiebal1!$AO$4:$AO$18),Rooiebal1!$AO$4:$AO$18,0))</f>
        <v xml:space="preserve">Raeymakers Pierre </v>
      </c>
      <c r="G20" s="244"/>
      <c r="H20" s="251">
        <f>MAX(Rooiebal1!$AO$4:$AO$18)</f>
        <v>143.47826086956522</v>
      </c>
      <c r="I20" s="259">
        <f>VLOOKUP($F20,Rooiebal1!$A$4:$AO$18,40,0)</f>
        <v>33</v>
      </c>
      <c r="J20" s="260">
        <f>VLOOKUP($F20,Rooiebal1!$A$4:$AO$18,39,0)</f>
        <v>2</v>
      </c>
      <c r="K20" s="241"/>
      <c r="L20" s="257">
        <f>VLOOKUP($C20,Punten!$D$4:$AD$224,1+$L$6,0)</f>
        <v>823.00600000000009</v>
      </c>
      <c r="M20" s="257">
        <f>VLOOKUP($C20,Punten!$C$4:$AD$224,2+$M$6,0)</f>
        <v>46.463000000000001</v>
      </c>
      <c r="N20" s="241"/>
      <c r="O20" s="241"/>
      <c r="P20" s="241"/>
      <c r="Q20" s="241"/>
      <c r="R20" s="241"/>
      <c r="S20" s="233"/>
      <c r="T20" s="233"/>
    </row>
    <row r="21" spans="1:20" ht="19.899999999999999" customHeight="1" x14ac:dyDescent="0.3">
      <c r="A21" s="244">
        <f>COUNTIF(Punten!$E$50:'Punten'!$AD$50,"&gt;0")</f>
        <v>15</v>
      </c>
      <c r="B21" s="245" t="s">
        <v>4</v>
      </c>
      <c r="C21" s="243" t="s">
        <v>16</v>
      </c>
      <c r="D21" s="247">
        <f>Punten!$C$51</f>
        <v>811.67100000000005</v>
      </c>
      <c r="E21" s="250">
        <f>Meeuwen1!$AL$19</f>
        <v>2397</v>
      </c>
      <c r="F21" s="240" t="str">
        <f>INDEX(Meeuwen1!$A$4:$A$18,MATCH(MAX(Meeuwen1!$AO$4:$AO$18),Meeuwen1!$AO$4:$AO$18,0))</f>
        <v>Vossen Filip</v>
      </c>
      <c r="G21" s="244"/>
      <c r="H21" s="251">
        <f>MAX(Meeuwen1!$AO$4:$AO$18)</f>
        <v>111.71875</v>
      </c>
      <c r="I21" s="259">
        <f>VLOOKUP($F21,Meeuwen1!$A$4:$AO$18,40,0)</f>
        <v>17.875</v>
      </c>
      <c r="J21" s="260">
        <f>VLOOKUP($F21,Meeuwen1!$A$4:$AO$18,39,0)</f>
        <v>8</v>
      </c>
      <c r="K21" s="35"/>
      <c r="L21" s="257">
        <f>VLOOKUP($C21,Punten!$D$4:$AD$224,1+$L$6,0)</f>
        <v>811.67100000000005</v>
      </c>
      <c r="M21" s="257">
        <f>VLOOKUP($C21,Punten!$C$4:$AD$224,2+$M$6,0)</f>
        <v>76.884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25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25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25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25">
      <c r="C25" s="35"/>
    </row>
    <row r="26" spans="1:20" ht="15" customHeight="1" x14ac:dyDescent="0.25"/>
    <row r="27" spans="1:20" x14ac:dyDescent="0.25">
      <c r="B27" s="47" t="s">
        <v>17</v>
      </c>
    </row>
    <row r="28" spans="1:20" x14ac:dyDescent="0.25">
      <c r="B28" s="49" t="s">
        <v>289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5" priority="5" operator="equal">
      <formula>0</formula>
    </cfRule>
  </conditionalFormatting>
  <conditionalFormatting sqref="C8">
    <cfRule type="expression" dxfId="104" priority="15">
      <formula>$A$1&lt;&gt;0</formula>
    </cfRule>
  </conditionalFormatting>
  <conditionalFormatting sqref="C21">
    <cfRule type="expression" dxfId="103" priority="4">
      <formula>$A$1&lt;&gt;1</formula>
    </cfRule>
  </conditionalFormatting>
  <conditionalFormatting sqref="E5:M21">
    <cfRule type="expression" dxfId="102" priority="7">
      <formula>$A$1&lt;1</formula>
    </cfRule>
  </conditionalFormatting>
  <conditionalFormatting sqref="E5:N21">
    <cfRule type="expression" dxfId="101" priority="3">
      <formula>$A$1&gt;2</formula>
    </cfRule>
  </conditionalFormatting>
  <conditionalFormatting sqref="L5:M21">
    <cfRule type="expression" dxfId="100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9"/>
  <sheetViews>
    <sheetView showGridLines="0" topLeftCell="A37" zoomScale="107" zoomScaleNormal="100" workbookViewId="0">
      <selection activeCell="W65" sqref="W65"/>
    </sheetView>
  </sheetViews>
  <sheetFormatPr defaultRowHeight="15" customHeight="1" x14ac:dyDescent="0.25"/>
  <cols>
    <col min="1" max="1" width="11.5703125" style="27" customWidth="1"/>
    <col min="2" max="2" width="24.7109375" style="28" customWidth="1"/>
    <col min="3" max="3" width="12.5703125" style="27" customWidth="1"/>
    <col min="4" max="4" width="2.7109375" customWidth="1"/>
    <col min="5" max="17" width="8.28515625" style="43" customWidth="1"/>
    <col min="18" max="18" width="8.7109375" style="43" customWidth="1"/>
    <col min="19" max="19" width="8.28515625" style="43" customWidth="1"/>
    <col min="20" max="20" width="9.28515625" style="43" customWidth="1"/>
    <col min="21" max="30" width="9.28515625" customWidth="1"/>
  </cols>
  <sheetData>
    <row r="1" spans="1:30" s="7" customFormat="1" ht="15" customHeight="1" x14ac:dyDescent="0.25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25">
      <c r="A2" s="29" t="s">
        <v>20</v>
      </c>
      <c r="C2" s="29" t="s">
        <v>21</v>
      </c>
    </row>
    <row r="3" spans="1:30" ht="25.15" customHeight="1" x14ac:dyDescent="0.25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25">
      <c r="A4" s="27">
        <f>IF(SUM(E4:AD4)=0,(" "),COUNTIF(E4:AD4,"&gt;0"))</f>
        <v>8</v>
      </c>
      <c r="B4" s="28" t="str">
        <f>Horendonk!A4</f>
        <v>Ansems Ferre</v>
      </c>
      <c r="C4" s="32">
        <f>IF(Horendonk!AL4=0," ",SUM(E4:AD4))</f>
        <v>94.209000000000003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25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25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25">
      <c r="A7" s="27">
        <f t="shared" si="0"/>
        <v>10</v>
      </c>
      <c r="B7" s="28" t="str">
        <f>Horendonk!A7</f>
        <v>De Backer Jef</v>
      </c>
      <c r="C7" s="32">
        <f>IF(Horendonk!AL7=0," ",SUM(E7:AD7))</f>
        <v>99.998999999999995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25">
      <c r="A8" s="27">
        <f t="shared" si="0"/>
        <v>9</v>
      </c>
      <c r="B8" s="28" t="str">
        <f>Horendonk!A8</f>
        <v>Herreyers Remy</v>
      </c>
      <c r="C8" s="32">
        <f>IF(Horendonk!AL8=0," ",SUM(E8:AD8))</f>
        <v>70.831999999999994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25">
      <c r="A9" s="27">
        <f t="shared" si="0"/>
        <v>8</v>
      </c>
      <c r="B9" s="80" t="str">
        <f>Horendonk!A9</f>
        <v>Maas Guy</v>
      </c>
      <c r="C9" s="32">
        <f>IF(Horendonk!AL9=0," ",SUM(E9:AD9))</f>
        <v>67.600000000000009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25">
      <c r="A10" s="27">
        <f t="shared" si="0"/>
        <v>9</v>
      </c>
      <c r="B10" s="28" t="str">
        <f>Horendonk!A10</f>
        <v xml:space="preserve">Nelen Johan  </v>
      </c>
      <c r="C10" s="32">
        <f>IF(Horendonk!AL10=0," ",SUM(E10:AD10))</f>
        <v>86.665999999999997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25">
      <c r="A11" s="27">
        <f t="shared" si="0"/>
        <v>9</v>
      </c>
      <c r="B11" s="28" t="str">
        <f>Horendonk!A11</f>
        <v>Oerlemans Willy</v>
      </c>
      <c r="C11" s="32">
        <f>IF(Horendonk!AL11=0," ",SUM(E11:AD11))</f>
        <v>78.930000000000007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36" t="str">
        <f>IF(Horendonk!U11=(""),(""),ROUND(Horendonk!U11/Horendonk!$T11*10,3))</f>
        <v/>
      </c>
      <c r="S11" s="36">
        <f>IF(Horendonk!V11=(""),(""),ROUND(Horendonk!V11/Horendonk!$T11*10,3))</f>
        <v>7.5</v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25">
      <c r="A12" s="27">
        <f t="shared" si="0"/>
        <v>12</v>
      </c>
      <c r="B12" s="28" t="str">
        <f>Horendonk!A12</f>
        <v>Siemons Jos</v>
      </c>
      <c r="C12" s="32">
        <f>IF(Horendonk!AL12=0," ",SUM(E12:AD12))</f>
        <v>119.19999999999999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25">
      <c r="A13" s="27">
        <f t="shared" si="0"/>
        <v>9</v>
      </c>
      <c r="B13" s="28" t="str">
        <f>Horendonk!A13</f>
        <v>Van Aert André</v>
      </c>
      <c r="C13" s="32">
        <f>IF(Horendonk!AL13=0," ",SUM(E13:AD13))</f>
        <v>85.516000000000005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25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5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5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25">
      <c r="A15" s="27">
        <f t="shared" si="0"/>
        <v>9</v>
      </c>
      <c r="B15" s="81" t="str">
        <f>Horendonk!A15</f>
        <v xml:space="preserve">Vergouwen René </v>
      </c>
      <c r="C15" s="32">
        <f>IF(Horendonk!AL15=0," ",SUM(E15:AD15))</f>
        <v>81.667000000000002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25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 t="shared" si="1"/>
        <v>59.261999999999993</v>
      </c>
      <c r="S16" s="36">
        <f t="shared" si="1"/>
        <v>55.895000000000003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">
      <c r="A17" s="37"/>
      <c r="B17" s="38"/>
      <c r="C17" s="41">
        <f>SUM(C4:C15)</f>
        <v>856.77900000000011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15" customHeight="1" x14ac:dyDescent="0.25"/>
    <row r="19" spans="1:30" ht="15" customHeight="1" x14ac:dyDescent="0.25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25">
      <c r="A20" s="27">
        <f t="shared" ref="A20:A33" si="27">IF(SUM(E20:AD20)=0,(" "),COUNTIF(E20:AD20,"&gt;0"))</f>
        <v>7</v>
      </c>
      <c r="B20" s="28" t="str">
        <f>Kerkuilen!A4</f>
        <v xml:space="preserve">Antonissen Gust      </v>
      </c>
      <c r="C20" s="32">
        <f>IF(Kerkuilen!AL4=0," ",SUM(E20:AD20))</f>
        <v>73.225999999999999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25">
      <c r="A21" s="27">
        <f t="shared" si="27"/>
        <v>5</v>
      </c>
      <c r="B21" s="28" t="str">
        <f>Kerkuilen!A5</f>
        <v>De Kaey Piet</v>
      </c>
      <c r="C21" s="32">
        <f>IF(Kerkuilen!AL5=0," ",SUM(E21:AD21))</f>
        <v>55.769999999999996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25">
      <c r="A22" s="27">
        <f t="shared" si="27"/>
        <v>3</v>
      </c>
      <c r="B22" s="28" t="str">
        <f>Kerkuilen!A6</f>
        <v>Elst Stan</v>
      </c>
      <c r="C22" s="32">
        <f>IF(Kerkuilen!AL6=0," ",SUM(E22:AD22))</f>
        <v>25.951999999999998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25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25">
      <c r="A24" s="27">
        <f t="shared" si="27"/>
        <v>4</v>
      </c>
      <c r="B24" s="28" t="str">
        <f>Kerkuilen!A8</f>
        <v xml:space="preserve">Jacobis Martin </v>
      </c>
      <c r="C24" s="32">
        <f>IF(Kerkuilen!AL8=0," ",SUM(E24:AD24))</f>
        <v>36.4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25">
      <c r="A25" s="27">
        <f t="shared" si="27"/>
        <v>8</v>
      </c>
      <c r="B25" s="28" t="str">
        <f>Kerkuilen!A9</f>
        <v>Lambrechts Jef</v>
      </c>
      <c r="C25" s="32">
        <f>IF(Kerkuilen!AL9=0," ",SUM(E25:AD25))</f>
        <v>69.623000000000005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25">
      <c r="A26" s="27">
        <f t="shared" si="27"/>
        <v>8</v>
      </c>
      <c r="B26" s="28" t="str">
        <f>Kerkuilen!A10</f>
        <v>Naulaerts Rik</v>
      </c>
      <c r="C26" s="32">
        <f>IF(Kerkuilen!AL10=0," ",SUM(E26:AD26))</f>
        <v>74.509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25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25">
      <c r="A28" s="27">
        <f t="shared" si="27"/>
        <v>11</v>
      </c>
      <c r="B28" s="28" t="str">
        <f>Kerkuilen!A12</f>
        <v>Pleysier Luc</v>
      </c>
      <c r="C28" s="32">
        <f>IF(Kerkuilen!AL12=0," ",SUM(E28:AD28))</f>
        <v>88.112000000000009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25">
      <c r="A29" s="27">
        <f t="shared" si="27"/>
        <v>8</v>
      </c>
      <c r="B29" s="28" t="str">
        <f>Kerkuilen!A13</f>
        <v xml:space="preserve">Quick Gerard </v>
      </c>
      <c r="C29" s="32">
        <f>IF(Kerkuilen!AL13=0," ",SUM(E29:AD29))</f>
        <v>87.307000000000002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25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25">
      <c r="A31" s="27">
        <f t="shared" si="27"/>
        <v>7</v>
      </c>
      <c r="B31" s="28" t="str">
        <f>Kerkuilen!A15</f>
        <v>Uytdewilligen Hubert</v>
      </c>
      <c r="C31" s="32">
        <f>IF(Kerkuilen!AL15=0," ",SUM(E31:AD31))</f>
        <v>66.665999999999997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25">
      <c r="A32" s="27">
        <f t="shared" si="27"/>
        <v>5</v>
      </c>
      <c r="B32" s="38" t="str">
        <f>Kerkuilen!A16</f>
        <v>Van Ginneken Cyriel [NS 20]</v>
      </c>
      <c r="C32" s="32">
        <f>IF(Kerkuilen!AL16=0," ",SUM(E32:AD32))</f>
        <v>45.875</v>
      </c>
      <c r="E32" s="36" t="str">
        <f>IF(Kerkuilen!C16=(""),(""),ROUND(Kerkuilen!C16/Kerkuilen!$B16*10,3))</f>
        <v/>
      </c>
      <c r="F32" s="265">
        <f>IF(Kerkuilen!D16=(""),(""),ROUND(Kerkuilen!D16/20*10,3))</f>
        <v>8</v>
      </c>
      <c r="G32" s="265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5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25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65">
        <f>IF(Kerkuilen!D17=(""),(""),ROUND(Kerkuilen!D17/50*10,3))</f>
        <v>10</v>
      </c>
      <c r="G33" s="265">
        <f>IF(Kerkuilen!E17=(""),(""),ROUND(Kerkuilen!E17/50*10,3))</f>
        <v>9</v>
      </c>
      <c r="H33" s="265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25">
      <c r="A34" s="27">
        <f t="shared" ref="A34" si="28">IF(SUM(E34:AD34)=0,(" "),COUNTIF(E34:AD34,"&gt;0"))</f>
        <v>2</v>
      </c>
      <c r="B34" s="28" t="str">
        <f>Kerkuilen!A18</f>
        <v>Van Oers John</v>
      </c>
      <c r="C34" s="32">
        <f>IF(Kerkuilen!AL16=0," ",SUM(E34:AD34))</f>
        <v>17.742000000000001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25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">
      <c r="A36" s="37"/>
      <c r="B36" s="38"/>
      <c r="C36" s="41">
        <f>SUM(C20:C34)</f>
        <v>837.09099999999989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15" customHeight="1" x14ac:dyDescent="0.3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25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25">
      <c r="A39" s="27">
        <f t="shared" ref="A39:A49" si="31">IF(SUM(E39:AD39)=0,(" "),COUNTIF(E39:AD39,"&gt;0"))</f>
        <v>11</v>
      </c>
      <c r="B39" s="28" t="str">
        <f>Meeuwen1!A4</f>
        <v>Aerts Adri</v>
      </c>
      <c r="C39" s="32">
        <f>IF(Meeuwen1!AL4=0," ",SUM(E39:AD39))</f>
        <v>115.62800000000001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25">
      <c r="A40" s="27">
        <f t="shared" si="31"/>
        <v>11</v>
      </c>
      <c r="B40" s="28" t="str">
        <f>Meeuwen1!A5</f>
        <v>Bocken Jean Pierre</v>
      </c>
      <c r="C40" s="32">
        <f>IF(Meeuwen1!AL5=0," ",SUM(E40:AD40))</f>
        <v>87.775999999999996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25">
      <c r="A41" s="27">
        <f t="shared" si="31"/>
        <v>9</v>
      </c>
      <c r="B41" s="28" t="str">
        <f>Meeuwen1!A6</f>
        <v xml:space="preserve">Bocken Lambert  </v>
      </c>
      <c r="C41" s="32">
        <f>IF(Meeuwen1!AL6=0," ",SUM(E41:AD41))</f>
        <v>79.286000000000001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25">
      <c r="A42" s="27">
        <f t="shared" si="31"/>
        <v>10</v>
      </c>
      <c r="B42" s="28" t="str">
        <f>Meeuwen1!A7</f>
        <v>Goetschalkx Herman</v>
      </c>
      <c r="C42" s="32">
        <f>IF(Meeuwen1!AL7=0," ",SUM(E42:AD42))</f>
        <v>83.334000000000003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25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25">
      <c r="A44" s="27">
        <f t="shared" si="31"/>
        <v>6</v>
      </c>
      <c r="B44" s="28" t="str">
        <f>Meeuwen1!A9</f>
        <v>Meeusen Marc</v>
      </c>
      <c r="C44" s="32">
        <f>IF(Meeuwen1!AL9=0," ",SUM(E44:AD44))</f>
        <v>63.12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25">
      <c r="A45" s="27">
        <f t="shared" si="31"/>
        <v>8</v>
      </c>
      <c r="B45" s="28" t="str">
        <f>Meeuwen1!A10</f>
        <v>Van Loon Marc</v>
      </c>
      <c r="C45" s="32">
        <f>IF(Meeuwen1!AL10=0," ",SUM(E45:AD45))</f>
        <v>84.667000000000002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25">
      <c r="A46" s="27">
        <f t="shared" si="31"/>
        <v>5</v>
      </c>
      <c r="B46" s="28" t="str">
        <f>Meeuwen1!A11</f>
        <v>Van Zoest Teun</v>
      </c>
      <c r="C46" s="32">
        <f>IF(Meeuwen1!AL11=0," ",SUM(E46:AD46))</f>
        <v>42.499000000000002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25">
      <c r="A47" s="27">
        <f t="shared" si="31"/>
        <v>8</v>
      </c>
      <c r="B47" s="28" t="str">
        <f>Meeuwen1!A12</f>
        <v>Veraart Jos</v>
      </c>
      <c r="C47" s="32">
        <f>IF(Meeuwen1!AL12=0," ",SUM(E47:AD47))</f>
        <v>55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25">
      <c r="A48" s="27">
        <f t="shared" si="31"/>
        <v>8</v>
      </c>
      <c r="B48" s="80" t="str">
        <f>Meeuwen1!A13</f>
        <v>Vossen Filip</v>
      </c>
      <c r="C48" s="32">
        <f>IF(Meeuwen1!AL13=0," ",SUM(E48:AD48))</f>
        <v>89.375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25">
      <c r="A49" s="27">
        <f t="shared" si="31"/>
        <v>11</v>
      </c>
      <c r="B49" s="38" t="str">
        <f>Meeuwen1!A14</f>
        <v>Vossen Ronny  [NS 20]</v>
      </c>
      <c r="C49" s="32">
        <f>IF(Meeuwen1!AL14=0," ",SUM(E49:AD49))</f>
        <v>85.834000000000003</v>
      </c>
      <c r="E49" s="265">
        <f>IF(Meeuwen1!C14=(""),(""),ROUND(Meeuwen1!C14/20*10,3))</f>
        <v>11</v>
      </c>
      <c r="F49" s="265">
        <f>IF(Meeuwen1!D14=(""),(""),ROUND(Meeuwen1!D14/20*10,3))</f>
        <v>5</v>
      </c>
      <c r="G49" s="265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25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">
      <c r="A51" s="37"/>
      <c r="B51" s="38"/>
      <c r="C51" s="41">
        <f>SUM(C39:C49)</f>
        <v>811.67100000000005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15" customHeight="1" x14ac:dyDescent="0.25"/>
    <row r="53" spans="1:31" ht="15" customHeight="1" x14ac:dyDescent="0.25">
      <c r="B53" s="31" t="s">
        <v>25</v>
      </c>
      <c r="E53" s="27">
        <v>1</v>
      </c>
      <c r="F53" s="27">
        <v>2</v>
      </c>
      <c r="G53" s="27">
        <v>3</v>
      </c>
      <c r="H53" s="26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25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25">
      <c r="A55" s="27">
        <f t="shared" si="34"/>
        <v>12</v>
      </c>
      <c r="B55" s="28" t="str">
        <f>Meeuwen2!A5</f>
        <v>De Backer Jerome</v>
      </c>
      <c r="C55" s="32">
        <f>IF(Meeuwen2!AL5=0," ",SUM(E55:AD55))</f>
        <v>155.001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25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25">
      <c r="A57" s="27">
        <f t="shared" si="34"/>
        <v>8</v>
      </c>
      <c r="B57" s="28" t="str">
        <f>Meeuwen2!A7</f>
        <v xml:space="preserve">Jacobs Hugo            </v>
      </c>
      <c r="C57" s="32">
        <f>IF(Meeuwen2!AL7=0," ",SUM(E57:AD57))</f>
        <v>76.765000000000001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25">
      <c r="A58" s="27">
        <f t="shared" si="34"/>
        <v>7</v>
      </c>
      <c r="B58" s="28" t="str">
        <f>Meeuwen2!A8</f>
        <v>Jacobs Willy</v>
      </c>
      <c r="C58" s="32">
        <f>IF(Meeuwen2!AL8=0," ",SUM(E58:AD58))</f>
        <v>54.5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25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25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25">
      <c r="A61" s="27">
        <f t="shared" si="34"/>
        <v>11</v>
      </c>
      <c r="B61" s="28" t="str">
        <f>Meeuwen2!A11</f>
        <v xml:space="preserve">Present Fons </v>
      </c>
      <c r="C61" s="32">
        <f>IF(Meeuwen2!AL11=0," ",SUM(E61:AD61))</f>
        <v>122.27400000000003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25">
      <c r="A62" s="27">
        <f t="shared" si="34"/>
        <v>5</v>
      </c>
      <c r="B62" s="38" t="str">
        <f>Meeuwen2!A12</f>
        <v>Present Marc [NS 20]</v>
      </c>
      <c r="C62" s="32">
        <f>IF(Meeuwen2!AL12=0," ",SUM(E62:AD62))</f>
        <v>59.647000000000006</v>
      </c>
      <c r="E62" s="265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5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5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25">
      <c r="A63" s="27">
        <f t="shared" si="34"/>
        <v>10</v>
      </c>
      <c r="B63" s="28" t="str">
        <f>Meeuwen2!A13</f>
        <v>Suykerbuyk Stan</v>
      </c>
      <c r="C63" s="32">
        <f>IF(Meeuwen2!AL13=0," ",SUM(E63:AD63))</f>
        <v>117.27199999999999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25">
      <c r="A64" s="27">
        <f t="shared" si="34"/>
        <v>10</v>
      </c>
      <c r="B64" s="28" t="str">
        <f>Meeuwen2!A14</f>
        <v xml:space="preserve">Vandersanden Lucien </v>
      </c>
      <c r="C64" s="32">
        <f>IF(Meeuwen2!AL14=0," ",SUM(E64:AD64))</f>
        <v>89.998999999999995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25">
      <c r="A65" s="27">
        <f t="shared" si="34"/>
        <v>7</v>
      </c>
      <c r="B65" s="28" t="str">
        <f>Meeuwen2!A15</f>
        <v>Van Dorst Alfons</v>
      </c>
      <c r="C65" s="32">
        <f>IF(Meeuwen2!AL15=0," ",SUM(E65:AD65))</f>
        <v>72.203000000000003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25">
      <c r="A66" s="27">
        <f t="shared" si="34"/>
        <v>10</v>
      </c>
      <c r="B66" s="28" t="str">
        <f>Meeuwen2!A16</f>
        <v xml:space="preserve">Van Thillo Sis   </v>
      </c>
      <c r="C66" s="32">
        <f>IF(Meeuwen2!AL16=0," ",SUM(E66:AD66))</f>
        <v>99.064999999999998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25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">
      <c r="B68" s="154"/>
      <c r="C68" s="41">
        <f>SUM(C54:C66)</f>
        <v>927.44800000000009</v>
      </c>
      <c r="D68" s="26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15" customHeight="1" x14ac:dyDescent="0.25"/>
    <row r="70" spans="1:30" ht="15" customHeight="1" x14ac:dyDescent="0.25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25">
      <c r="A71" s="27">
        <f t="shared" ref="A71" si="37">IF(SUM(E71:AD71)=0,(" "),COUNTIF(E71:AD71,"&gt;0"))</f>
        <v>7</v>
      </c>
      <c r="B71" s="28" t="str">
        <f>Molenheike!A4</f>
        <v xml:space="preserve">Brauns Martin    </v>
      </c>
      <c r="C71" s="32">
        <f>IF(Molenheike!AL4=0," ",SUM(E71:AD71))</f>
        <v>61.052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25">
      <c r="A72" s="27">
        <f t="shared" ref="A72:A79" si="38">IF(SUM(E72:AD72)=0,(" "),COUNTIF(E72:AD72,"&gt;0"))</f>
        <v>11</v>
      </c>
      <c r="B72" s="28" t="str">
        <f>Molenheike!A5</f>
        <v>Brosens Luc</v>
      </c>
      <c r="C72" s="32">
        <f>IF(Molenheike!AL5=0," ",SUM(E72:AD72))</f>
        <v>105.69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25">
      <c r="A73" s="27">
        <f t="shared" si="38"/>
        <v>12</v>
      </c>
      <c r="B73" s="80" t="str">
        <f>Molenheike!A6</f>
        <v>Dhooghe Jan</v>
      </c>
      <c r="C73" s="32">
        <f>IF(Molenheike!AL6=0," ",SUM(E73:AD73))</f>
        <v>122.223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25">
      <c r="A74" s="27">
        <f t="shared" si="38"/>
        <v>11</v>
      </c>
      <c r="B74" s="28" t="str">
        <f>Molenheike!A7</f>
        <v>Keuppens Marc</v>
      </c>
      <c r="C74" s="32">
        <f>IF(Molenheike!AL7=0," ",SUM(E74:AD74))</f>
        <v>128.001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25">
      <c r="A75" s="27">
        <f t="shared" si="38"/>
        <v>9</v>
      </c>
      <c r="B75" s="28" t="str">
        <f>Molenheike!A8</f>
        <v>Lambrechts Ferdy</v>
      </c>
      <c r="C75" s="32">
        <f>IF(Molenheike!AL8=0," ",SUM(E75:AD75))</f>
        <v>93.584999999999994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25">
      <c r="A76" s="27">
        <f t="shared" si="38"/>
        <v>8</v>
      </c>
      <c r="B76" s="28" t="str">
        <f>Molenheike!A9</f>
        <v>Nelen Marc</v>
      </c>
      <c r="C76" s="32">
        <f>IF(Molenheike!AL9=0," ",SUM(E76:AD76))</f>
        <v>72.082999999999998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25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25">
      <c r="A78" s="27">
        <f t="shared" si="38"/>
        <v>13</v>
      </c>
      <c r="B78" s="28" t="str">
        <f>Molenheike!A11</f>
        <v>Van Ginderen Jef</v>
      </c>
      <c r="C78" s="32">
        <f>IF(Molenheike!AL11=0," ",SUM(E78:AD78))</f>
        <v>149.07400000000001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25">
      <c r="A79" s="27">
        <f t="shared" si="38"/>
        <v>11</v>
      </c>
      <c r="B79" s="28" t="str">
        <f>Molenheike!A12</f>
        <v>Van Ginderen Willy</v>
      </c>
      <c r="C79" s="32">
        <f>IF(Molenheike!AL12=0," ",SUM(E79:AD79))</f>
        <v>109.72900000000001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15" customHeight="1" x14ac:dyDescent="0.25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">
      <c r="A81" s="37"/>
      <c r="B81" s="38"/>
      <c r="C81" s="41">
        <f>SUM(C71:C79)</f>
        <v>920.18700000000013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15" customHeight="1" x14ac:dyDescent="0.25"/>
    <row r="83" spans="1:30" ht="15" customHeight="1" x14ac:dyDescent="0.25">
      <c r="B83" s="31" t="s">
        <v>27</v>
      </c>
      <c r="E83" s="27">
        <v>1</v>
      </c>
      <c r="F83" s="27">
        <v>2</v>
      </c>
      <c r="G83" s="27">
        <v>3</v>
      </c>
      <c r="H83" s="26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25">
      <c r="A84" s="27">
        <f t="shared" ref="A84" si="44">IF(SUM(E84:AD84)=0,(" "),COUNTIF(E84:AD84,"&gt;0"))</f>
        <v>14</v>
      </c>
      <c r="B84" s="28" t="str">
        <f>Nispen!A4</f>
        <v>Bastiaensen Jan</v>
      </c>
      <c r="C84" s="32">
        <f>IF(Nispen!AL4=0," ",SUM(E84:AD84))</f>
        <v>138.709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9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25">
      <c r="A85" s="27">
        <f t="shared" ref="A85:A93" si="45">IF(SUM(E85:AD85)=0,(" "),COUNTIF(E85:AD85,"&gt;0"))</f>
        <v>10</v>
      </c>
      <c r="B85" s="28" t="str">
        <f>Nispen!A5</f>
        <v>Botermans Jan</v>
      </c>
      <c r="C85" s="32">
        <f>IF(Nispen!AL5=0," ",SUM(E85:AD85))</f>
        <v>81.667000000000002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9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25">
      <c r="A86" s="27">
        <f t="shared" si="45"/>
        <v>14</v>
      </c>
      <c r="B86" s="28" t="str">
        <f>Nispen!A6</f>
        <v>Brouwers Vic</v>
      </c>
      <c r="C86" s="32">
        <f>IF(Nispen!AL6=0," ",SUM(E86:AD86))</f>
        <v>158.08699999999999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25">
      <c r="A87" s="27">
        <f t="shared" si="45"/>
        <v>8</v>
      </c>
      <c r="B87" s="80" t="str">
        <f>Nispen!A7</f>
        <v>Cappaert Ivan</v>
      </c>
      <c r="C87" s="32">
        <f>IF(Nispen!AL7=0," ",SUM(E87:AD87))</f>
        <v>80.570999999999998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25">
      <c r="A88" s="27">
        <f t="shared" si="45"/>
        <v>9</v>
      </c>
      <c r="B88" s="28" t="str">
        <f>Nispen!A8</f>
        <v xml:space="preserve">Kerstens Jac     </v>
      </c>
      <c r="C88" s="32">
        <f>IF(Nispen!AL8=0," ",SUM(E88:AD88))</f>
        <v>86.570999999999998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9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9">
        <f>IF(Nispen!L8=(""),(""),ROUND(Nispen!L8/Nispen!$B8*10,3))</f>
        <v>12.856999999999999</v>
      </c>
      <c r="O88" s="269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25">
      <c r="A89" s="27">
        <f t="shared" si="45"/>
        <v>5</v>
      </c>
      <c r="B89" s="38" t="str">
        <f>Nispen!A9</f>
        <v>Klijn Toon [NS 20]</v>
      </c>
      <c r="C89" s="32">
        <f>IF(Nispen!AL9=0," ",SUM(E89:AD89))</f>
        <v>43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5">
        <f>IF(Nispen!E9=(""),(""),ROUND(Nispen!E9/20*10,3))</f>
        <v>12</v>
      </c>
      <c r="H89" s="265">
        <f>IF(Nispen!F9=(""),(""),ROUND(Nispen!F9/20*10,3))</f>
        <v>11</v>
      </c>
      <c r="I89" s="36" t="str">
        <f>IF(Nispen!G9=(""),(""),ROUND(Nispen!G9/Nispen!$B9*10,3))</f>
        <v/>
      </c>
      <c r="J89" s="265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25">
      <c r="A90" s="27">
        <f t="shared" si="45"/>
        <v>11</v>
      </c>
      <c r="B90" s="34" t="str">
        <f>Nispen!A10</f>
        <v>Martens Gerrit [OS]</v>
      </c>
      <c r="C90" s="32">
        <f>IF(Nispen!AL10=0," ",SUM(E90:AD90))</f>
        <v>115.33199999999999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9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25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25">
      <c r="A92" s="27">
        <f t="shared" si="45"/>
        <v>7</v>
      </c>
      <c r="B92" s="28" t="str">
        <f>Nispen!A12</f>
        <v xml:space="preserve">Raats Antoon </v>
      </c>
      <c r="C92" s="32">
        <f>IF(Nispen!AL12=0," ",SUM(E92:AD92))</f>
        <v>60.526999999999987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25">
      <c r="A93" s="27">
        <f t="shared" si="45"/>
        <v>10</v>
      </c>
      <c r="B93" s="28" t="str">
        <f>Nispen!A13</f>
        <v>Uijdehaag Nico</v>
      </c>
      <c r="C93" s="32">
        <f>IF(Nispen!AL13=0," ",SUM(E93:AD93))</f>
        <v>102.17400000000001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9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15" customHeight="1" x14ac:dyDescent="0.25">
      <c r="C94" s="215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">
      <c r="A95" s="37"/>
      <c r="B95" s="38"/>
      <c r="C95" s="41">
        <f>SUM(C84:C93)</f>
        <v>885.68599999999992</v>
      </c>
      <c r="D95" s="215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15" customHeight="1" x14ac:dyDescent="0.25"/>
    <row r="97" spans="1:30" ht="15" customHeight="1" x14ac:dyDescent="0.25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25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25">
      <c r="A99" s="27">
        <f t="shared" ref="A99:A111" si="72">IF(SUM(E99:AD99)=0,(" "),COUNTIF(E99:AD99,"&gt;0"))</f>
        <v>6</v>
      </c>
      <c r="B99" s="28" t="str">
        <f>Oudeglorie!A5</f>
        <v xml:space="preserve">Beyers Jos    </v>
      </c>
      <c r="C99" s="32">
        <f>IF(Oudeglorie!AL5=0," ",SUM(E99:AD99))</f>
        <v>62.592999999999996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25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25">
      <c r="A101" s="27">
        <f t="shared" si="72"/>
        <v>9</v>
      </c>
      <c r="B101" s="28" t="str">
        <f>Oudeglorie!A7</f>
        <v>Braat Guido</v>
      </c>
      <c r="C101" s="32">
        <f>IF(Oudeglorie!AL7=0," ",SUM(E101:AD101))</f>
        <v>99.998999999999995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25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25">
      <c r="A103" s="27">
        <f t="shared" si="72"/>
        <v>8</v>
      </c>
      <c r="B103" s="28" t="str">
        <f>Oudeglorie!A9</f>
        <v>Gommers Jac</v>
      </c>
      <c r="C103" s="32">
        <f>IF(Oudeglorie!AL9=0," ",SUM(E103:AD103))</f>
        <v>77.222999999999999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25">
      <c r="A104" s="27">
        <f t="shared" si="72"/>
        <v>7</v>
      </c>
      <c r="B104" s="28" t="str">
        <f>Oudeglorie!A10</f>
        <v>Jacobs Alfons</v>
      </c>
      <c r="C104" s="32">
        <f>IF(Oudeglorie!AL10=0," ",SUM(E104:AD104))</f>
        <v>53.213999999999999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25">
      <c r="A105" s="27">
        <f t="shared" si="72"/>
        <v>6</v>
      </c>
      <c r="B105" s="28" t="str">
        <f>Oudeglorie!A11</f>
        <v>Jacobs Frans</v>
      </c>
      <c r="C105" s="32">
        <f>IF(Oudeglorie!AL11=0," ",SUM(E105:AD105))</f>
        <v>59.192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25">
      <c r="A106" s="27">
        <f t="shared" si="72"/>
        <v>6</v>
      </c>
      <c r="B106" s="28" t="str">
        <f>Oudeglorie!A12</f>
        <v>Nelen Frans</v>
      </c>
      <c r="C106" s="32">
        <f>IF(Oudeglorie!AL12=0," ",SUM(E106:AD106))</f>
        <v>70.8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25">
      <c r="A107" s="27">
        <f t="shared" si="72"/>
        <v>6</v>
      </c>
      <c r="B107" s="38" t="str">
        <f>Oudeglorie!A13</f>
        <v>Nelen Jef  [NS 25]</v>
      </c>
      <c r="C107" s="32">
        <f>IF(Oudeglorie!AL13=0," ",SUM(E107:AD107))</f>
        <v>59.630999999999993</v>
      </c>
      <c r="E107" s="265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5">
        <f>IF(Oudeglorie!J13=(""),(""),ROUND(Oudeglorie!J13/25*10,3))</f>
        <v>8</v>
      </c>
      <c r="M107" s="265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25">
      <c r="A108" s="27">
        <f t="shared" si="72"/>
        <v>9</v>
      </c>
      <c r="B108" s="28" t="str">
        <f>Oudeglorie!A14</f>
        <v xml:space="preserve">Somers Ludo </v>
      </c>
      <c r="C108" s="32">
        <f>IF(Oudeglorie!AL14=0," ",SUM(E108:AD108))</f>
        <v>74.117999999999995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25">
      <c r="A109" s="27">
        <f t="shared" si="72"/>
        <v>8</v>
      </c>
      <c r="B109" s="28" t="str">
        <f>Oudeglorie!A15</f>
        <v xml:space="preserve">Van Ginderen Ludo </v>
      </c>
      <c r="C109" s="32">
        <f>IF(Oudeglorie!AL15=0," ",SUM(E109:AD109))</f>
        <v>83.528999999999996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25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25">
      <c r="A111" s="27">
        <f t="shared" si="72"/>
        <v>7</v>
      </c>
      <c r="B111" s="28" t="str">
        <f>Oudeglorie!A17</f>
        <v>Willemsen Willy</v>
      </c>
      <c r="C111" s="32">
        <f>IF(Oudeglorie!AL17=0," ",SUM(E111:AD111))</f>
        <v>81.352000000000004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15" customHeight="1" x14ac:dyDescent="0.25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">
      <c r="A113" s="37"/>
      <c r="B113" s="38"/>
      <c r="C113" s="41">
        <f>SUM(C98:C111)</f>
        <v>906.48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15" customHeight="1" x14ac:dyDescent="0.25"/>
    <row r="115" spans="1:30" ht="15" customHeight="1" x14ac:dyDescent="0.25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25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25">
      <c r="A117" s="27">
        <f t="shared" si="76"/>
        <v>7</v>
      </c>
      <c r="B117" s="28" t="str">
        <f>Meeuwkes!A5</f>
        <v>Buggenhout Danny</v>
      </c>
      <c r="C117" s="32">
        <f>IF(Meeuwkes!AL5=0," ",SUM(E117:AD117))</f>
        <v>63.171999999999997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25">
      <c r="A118" s="27">
        <f t="shared" si="76"/>
        <v>6</v>
      </c>
      <c r="B118" s="28" t="str">
        <f>Meeuwkes!A6</f>
        <v>Deckx Achiel</v>
      </c>
      <c r="C118" s="32">
        <f>IF(Meeuwkes!AL6=0," ",SUM(E118:AD118))</f>
        <v>64.472999999999999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25">
      <c r="A119" s="27">
        <f t="shared" si="76"/>
        <v>13</v>
      </c>
      <c r="B119" s="28" t="str">
        <f>Meeuwkes!A7</f>
        <v>Herreygers Leon</v>
      </c>
      <c r="C119" s="32">
        <f>IF(Meeuwkes!AL7=0," ",SUM(E119:AD119))</f>
        <v>150.4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25">
      <c r="A120" s="27">
        <f>IF(SUM(E120:AD120)=0,(" "),COUNTIF(E120:AD120,"&gt;0"))+1</f>
        <v>9</v>
      </c>
      <c r="B120" s="28" t="str">
        <f>Meeuwkes!A8</f>
        <v>Loos Piet</v>
      </c>
      <c r="C120" s="32">
        <f>IF(Meeuwkes!AL8=0," ",SUM(E120:AD120))</f>
        <v>64.667000000000002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25">
      <c r="A121" s="27">
        <f t="shared" si="76"/>
        <v>10</v>
      </c>
      <c r="B121" s="80" t="str">
        <f>Meeuwkes!A9</f>
        <v xml:space="preserve">Quick Louis </v>
      </c>
      <c r="C121" s="32">
        <f>IF(Meeuwkes!AL9=0," ",SUM(E121:AD121))</f>
        <v>108.20699999999999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25">
      <c r="A122" s="27">
        <f t="shared" si="76"/>
        <v>7</v>
      </c>
      <c r="B122" s="28" t="str">
        <f>Meeuwkes!A10</f>
        <v>Reyssens Martin</v>
      </c>
      <c r="C122" s="32">
        <f>IF(Meeuwkes!AL10=0," ",SUM(E122:AD122))</f>
        <v>73.043999999999997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25">
      <c r="A123" s="27">
        <f t="shared" si="76"/>
        <v>8</v>
      </c>
      <c r="B123" s="28" t="str">
        <f>Meeuwkes!A11</f>
        <v xml:space="preserve">Schenk André </v>
      </c>
      <c r="C123" s="32">
        <f>IF(Meeuwkes!AL11=0," ",SUM(E123:AD123))</f>
        <v>102.65700000000001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25">
      <c r="A124" s="27">
        <f t="shared" si="76"/>
        <v>3</v>
      </c>
      <c r="B124" s="28" t="str">
        <f>Meeuwkes!A12</f>
        <v>Van Doren Hugo</v>
      </c>
      <c r="C124" s="32">
        <f>IF(Meeuwkes!AL12=0," ",SUM(E124:AD124))</f>
        <v>23.207000000000001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25">
      <c r="A125" s="27">
        <f t="shared" si="76"/>
        <v>8</v>
      </c>
      <c r="B125" s="28" t="str">
        <f>Meeuwkes!A13</f>
        <v xml:space="preserve">De Roomer Jan    </v>
      </c>
      <c r="C125" s="32">
        <f>IF(Meeuwkes!AL13=0," ",SUM(E125:AD125))</f>
        <v>75.186999999999998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25">
      <c r="A126" s="27">
        <f t="shared" si="76"/>
        <v>5</v>
      </c>
      <c r="B126" s="28" t="str">
        <f>Meeuwkes!A14</f>
        <v>Van Hees Eduard</v>
      </c>
      <c r="C126" s="32">
        <f>IF(Meeuwkes!AL14=0," ",SUM(E126:AD126))</f>
        <v>39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25">
      <c r="A127" s="27">
        <f t="shared" si="76"/>
        <v>8</v>
      </c>
      <c r="B127" s="28" t="str">
        <f>Meeuwkes!A15</f>
        <v xml:space="preserve">Schenk Stanny  </v>
      </c>
      <c r="C127" s="32">
        <f>IF(Meeuwkes!AL15=0," ",SUM(E127:AD127))</f>
        <v>73.75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15" customHeight="1" x14ac:dyDescent="0.25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">
      <c r="A129" s="37"/>
      <c r="B129" s="38"/>
      <c r="C129" s="41">
        <f>SUM(C114:C127)</f>
        <v>919.76400000000001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15" customHeight="1" x14ac:dyDescent="0.25"/>
    <row r="131" spans="1:31" ht="15" customHeight="1" x14ac:dyDescent="0.25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25">
      <c r="A132" s="27">
        <f t="shared" ref="A132:A141" si="104">IF(SUM(E132:AD132)=0,(" "),COUNTIF(E132:AD132,"&gt;0"))</f>
        <v>11</v>
      </c>
      <c r="B132" s="28" t="str">
        <f>Rooiebal1!A4</f>
        <v>Aerts Jan</v>
      </c>
      <c r="C132" s="32">
        <f>IF(Rooiebal1!AL4=0," ",SUM(E132:AD132))</f>
        <v>116.31699999999999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25">
      <c r="A133" s="27">
        <f t="shared" si="104"/>
        <v>11</v>
      </c>
      <c r="B133" s="28" t="str">
        <f>Rooiebal1!A5</f>
        <v xml:space="preserve">Dictus Peter       </v>
      </c>
      <c r="C133" s="32">
        <f>IF(Rooiebal1!AL5=0," ",SUM(E133:AD133))</f>
        <v>93.888999999999996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25">
      <c r="A134" s="27">
        <f t="shared" si="104"/>
        <v>8</v>
      </c>
      <c r="B134" s="80" t="str">
        <f>Rooiebal1!A6</f>
        <v xml:space="preserve">Hereygers Cis     </v>
      </c>
      <c r="C134" s="32">
        <f>IF(Rooiebal1!AL6=0," ",SUM(E134:AD134))</f>
        <v>67.793999999999997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25">
      <c r="A135" s="27">
        <f t="shared" si="104"/>
        <v>8</v>
      </c>
      <c r="B135" s="28" t="str">
        <f>Rooiebal1!A7</f>
        <v xml:space="preserve">Karremans Dries  </v>
      </c>
      <c r="C135" s="32">
        <f>IF(Rooiebal1!AL7=0," ",SUM(E135:AD135))</f>
        <v>85.415999999999997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25">
      <c r="A136" s="27">
        <f t="shared" si="104"/>
        <v>7</v>
      </c>
      <c r="B136" s="28" t="str">
        <f>Rooiebal1!A8</f>
        <v xml:space="preserve">Nelen Ronny       </v>
      </c>
      <c r="C136" s="32">
        <f>IF(Rooiebal1!AL8=0," ",SUM(E136:AD136))</f>
        <v>63.333999999999996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25">
      <c r="A137" s="27">
        <f t="shared" si="104"/>
        <v>11</v>
      </c>
      <c r="B137" s="28" t="str">
        <f>Rooiebal1!A9</f>
        <v>Raeymakers Liliane</v>
      </c>
      <c r="C137" s="32">
        <f>IF(Rooiebal1!AL9=0," ",SUM(E137:AD137))</f>
        <v>103.81100000000001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25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25">
      <c r="A139" s="27">
        <f t="shared" si="104"/>
        <v>9</v>
      </c>
      <c r="B139" s="81" t="str">
        <f>Rooiebal1!A11</f>
        <v>Van Hooydonck René</v>
      </c>
      <c r="C139" s="32">
        <f>IF(Rooiebal1!AL11=0," ",SUM(E139:AD139))</f>
        <v>69.63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25">
      <c r="A140" s="27">
        <f t="shared" si="104"/>
        <v>13</v>
      </c>
      <c r="B140" s="81" t="str">
        <f>Rooiebal1!A12</f>
        <v>Van Oers Theo</v>
      </c>
      <c r="C140" s="32">
        <f>IF(Rooiebal1!AL12=0," ",SUM(E140:AD140))</f>
        <v>114.119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25">
      <c r="A141" s="27">
        <f t="shared" si="104"/>
        <v>10</v>
      </c>
      <c r="B141" s="28" t="str">
        <f>Rooiebal1!A13</f>
        <v>Vergouwen Willy</v>
      </c>
      <c r="C141" s="32">
        <f>IF(Rooiebal1!AL13=0," ",SUM(E141:AD141))</f>
        <v>80.001000000000005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15" customHeight="1" x14ac:dyDescent="0.25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">
      <c r="A143" s="37"/>
      <c r="B143" s="38"/>
      <c r="C143" s="41">
        <f>SUM(C132:C141)</f>
        <v>823.00600000000009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15" customHeight="1" x14ac:dyDescent="0.25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25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25">
      <c r="A146" s="27">
        <f t="shared" ref="A146:A156" si="131">IF(SUM(E146:AD146)=0,(" "),COUNTIF(E146:AD146,"&gt;0"))</f>
        <v>6</v>
      </c>
      <c r="B146" s="128" t="str">
        <f>Rooiebal2!A4</f>
        <v xml:space="preserve">Costermans Leo   </v>
      </c>
      <c r="C146" s="32">
        <f>IF(Rooiebal2!AL4=0," ",SUM(E146:AD146))</f>
        <v>60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25">
      <c r="A147" s="27">
        <f t="shared" si="131"/>
        <v>7</v>
      </c>
      <c r="B147" s="128" t="str">
        <f>Rooiebal2!A5</f>
        <v>Dictus Fred</v>
      </c>
      <c r="C147" s="32">
        <f>IF(Rooiebal2!AL5=0," ",SUM(E147:AD147))</f>
        <v>65.763000000000005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25">
      <c r="A148" s="27">
        <f t="shared" si="131"/>
        <v>11</v>
      </c>
      <c r="B148" s="128" t="str">
        <f>Rooiebal2!A6</f>
        <v xml:space="preserve">Donckers Johnny </v>
      </c>
      <c r="C148" s="32">
        <f>IF(Rooiebal2!AL6=0," ",SUM(E148:AD148))</f>
        <v>142.80000000000001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25">
      <c r="A149" s="27">
        <f t="shared" si="131"/>
        <v>9</v>
      </c>
      <c r="B149" s="128" t="str">
        <f>Rooiebal2!A7</f>
        <v>Goossen Winnie</v>
      </c>
      <c r="C149" s="32">
        <f>IF(Rooiebal2!AL7=0," ",SUM(E149:AD149))</f>
        <v>93.871000000000009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25">
      <c r="A150" s="27">
        <f t="shared" si="131"/>
        <v>9</v>
      </c>
      <c r="B150" s="129" t="str">
        <f>Rooiebal2!A8</f>
        <v>Lodewijckx Willy</v>
      </c>
      <c r="C150" s="32">
        <f>IF(Rooiebal2!AL8=0," ",SUM(E150:AD150))</f>
        <v>94.5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25">
      <c r="A151" s="27">
        <f t="shared" si="131"/>
        <v>6</v>
      </c>
      <c r="B151" s="128" t="str">
        <f>Rooiebal2!A9</f>
        <v xml:space="preserve">Mathyssen Guy  </v>
      </c>
      <c r="C151" s="32">
        <f>IF(Rooiebal2!AL9=0," ",SUM(E151:AD151))</f>
        <v>45.293000000000006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25">
      <c r="A152" s="27">
        <f t="shared" si="131"/>
        <v>9</v>
      </c>
      <c r="B152" s="128" t="str">
        <f>Rooiebal2!A10</f>
        <v>Ossenblok Ed</v>
      </c>
      <c r="C152" s="32">
        <f>IF(Rooiebal2!AL10=0," ",SUM(E152:AD152))</f>
        <v>83.429000000000002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25">
      <c r="A153" s="27">
        <f t="shared" si="131"/>
        <v>8</v>
      </c>
      <c r="B153" s="128" t="str">
        <f>Rooiebal2!A11</f>
        <v>Suykerbuyk Cis</v>
      </c>
      <c r="C153" s="32">
        <f>IF(Rooiebal2!AL11=0," ",SUM(E153:AD153))</f>
        <v>66.001999999999995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25">
      <c r="A154" s="27">
        <f t="shared" si="131"/>
        <v>8</v>
      </c>
      <c r="B154" s="128" t="str">
        <f>Rooiebal2!A12</f>
        <v>Swinnen Michel</v>
      </c>
      <c r="C154" s="32">
        <f>IF(Rooiebal2!AL12=0," ",SUM(E154:AD154))</f>
        <v>83.947000000000003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25">
      <c r="A155" s="27">
        <f t="shared" si="131"/>
        <v>9</v>
      </c>
      <c r="B155" s="128" t="str">
        <f>Rooiebal2!A13</f>
        <v>Veraart Swa</v>
      </c>
      <c r="C155" s="32">
        <f>IF(Rooiebal2!AL13=0," ",SUM(E155:AD155))</f>
        <v>91.25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25">
      <c r="A156" s="27">
        <f t="shared" si="131"/>
        <v>8</v>
      </c>
      <c r="B156" s="210" t="str">
        <f>Rooiebal2!A14</f>
        <v>Konings Kamiel [NS 20]</v>
      </c>
      <c r="C156" s="32">
        <f>IF(Rooiebal2!AL14=0," ",SUM(E156:AD156))</f>
        <v>46.667000000000002</v>
      </c>
      <c r="E156" s="36" t="str">
        <f>IF(Rooiebal2!C14=(""),(""),ROUND(Rooiebal2!C14/Rooiebal2!$B14*10,3))</f>
        <v/>
      </c>
      <c r="F156" s="265">
        <f>IF(Rooiebal2!D14=(""),(""),ROUND(Rooiebal2!D14/20*10,3))</f>
        <v>7</v>
      </c>
      <c r="G156" s="36" t="str">
        <f>IF(Rooiebal2!E14=(""),(""),ROUND(Rooiebal2!E14/Rooiebal2!$B14*10,3))</f>
        <v/>
      </c>
      <c r="H156" s="265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5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15" customHeight="1" x14ac:dyDescent="0.25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">
      <c r="A158" s="37"/>
      <c r="B158" s="38"/>
      <c r="C158" s="41">
        <f>SUM(C146:C156)</f>
        <v>873.52199999999993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15" customHeight="1" x14ac:dyDescent="0.25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25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25">
      <c r="A161" s="27">
        <f t="shared" ref="A161:A172" si="134">IF(SUM(E161:AD161)=0,(" "),COUNTIF(E161:AD161,"&gt;0"))</f>
        <v>11</v>
      </c>
      <c r="B161" s="28" t="str">
        <f>Putte!A4</f>
        <v xml:space="preserve">Anthonissen Paul </v>
      </c>
      <c r="C161" s="32">
        <f>IF(Putte!AL4=0," ",SUM(E161:AD161))</f>
        <v>116.31700000000001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25">
      <c r="A162" s="27">
        <f t="shared" si="134"/>
        <v>8</v>
      </c>
      <c r="B162" s="81" t="str">
        <f>Putte!A5</f>
        <v>De Beukelaer Freddy</v>
      </c>
      <c r="C162" s="32">
        <f>IF(Putte!AL5=0," ",SUM(E162:AD162))</f>
        <v>71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25">
      <c r="A163" s="27">
        <f t="shared" si="134"/>
        <v>10</v>
      </c>
      <c r="B163" s="81" t="str">
        <f>Putte!A6</f>
        <v>Evers Henri</v>
      </c>
      <c r="C163" s="32">
        <f>IF(Putte!AL6=0," ",SUM(E163:AD163))</f>
        <v>83.334000000000003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25">
      <c r="A164" s="27">
        <f t="shared" si="134"/>
        <v>11</v>
      </c>
      <c r="B164" s="28" t="str">
        <f>Putte!A7</f>
        <v xml:space="preserve">Palinckx Fons </v>
      </c>
      <c r="C164" s="32">
        <f>IF(Putte!AL7=0," ",SUM(E164:AD164))</f>
        <v>105.19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25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25">
      <c r="A166" s="27">
        <f t="shared" si="134"/>
        <v>13</v>
      </c>
      <c r="B166" s="28" t="str">
        <f>Putte!A9</f>
        <v xml:space="preserve">Plompen Dirk </v>
      </c>
      <c r="C166" s="32">
        <f>IF(Putte!AL9=0," ",SUM(E166:AD166))</f>
        <v>144.05499999999998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25">
      <c r="A167" s="27">
        <f t="shared" si="134"/>
        <v>8</v>
      </c>
      <c r="B167" s="28" t="str">
        <f>Putte!A10</f>
        <v xml:space="preserve">Schaeken Pierre </v>
      </c>
      <c r="C167" s="32">
        <f>IF(Putte!AL10=0," ",SUM(E167:AD167))</f>
        <v>94.5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25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25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25">
      <c r="A170" s="27">
        <f t="shared" si="134"/>
        <v>9</v>
      </c>
      <c r="B170" s="28" t="str">
        <f>Putte!A13</f>
        <v>Verelst Gilbert</v>
      </c>
      <c r="C170" s="32">
        <f>IF(Putte!AL13=0," ",SUM(E170:AD170))</f>
        <v>95.834000000000003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25">
      <c r="A171" s="27">
        <f t="shared" si="134"/>
        <v>5</v>
      </c>
      <c r="B171" s="28" t="str">
        <f>Putte!A14</f>
        <v>Wolfcarius Jaques</v>
      </c>
      <c r="C171" s="32">
        <f>IF(Putte!AL14=0," ",SUM(E171:AD171))</f>
        <v>51.363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25">
      <c r="A172" s="27">
        <f t="shared" si="134"/>
        <v>9</v>
      </c>
      <c r="B172" s="28" t="str">
        <f>Putte!A15</f>
        <v xml:space="preserve">Eyckmans Luc   </v>
      </c>
      <c r="C172" s="32">
        <f>IF(Putte!AL15=0," ",SUM(E172:AD172))</f>
        <v>86.957000000000008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 x14ac:dyDescent="0.25">
      <c r="A173" s="27" t="str">
        <f t="shared" ref="A173" si="135">IF(SUM(E173:AD173)=0,(" "),COUNTIF(E173:AD173,"&gt;0"))</f>
        <v xml:space="preserve"> </v>
      </c>
      <c r="B173" s="38" t="str">
        <f>Putte!A16</f>
        <v>Moerbeek Wilfried (ns)</v>
      </c>
      <c r="C173" s="32" t="str">
        <f>IF(Putte!AL16=0," ",SUM(E173:AD173))</f>
        <v xml:space="preserve"> 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36" t="str">
        <f>IF(Putte!W16=(""),(""),ROUND(Putte!W16/Putte!$T16*10,3))</f>
        <v/>
      </c>
      <c r="U173" s="36" t="str">
        <f>IF(Putte!X16=(""),(""),ROUND(Putte!X16/Putte!$T16*10,3))</f>
        <v/>
      </c>
      <c r="V173" s="36" t="str">
        <f>IF(Putte!Y16=(""),(""),ROUND(Putte!Y16/Putte!$T16*10,3))</f>
        <v/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45" customHeight="1" x14ac:dyDescent="0.25">
      <c r="C174" s="215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 t="str">
        <f t="shared" si="136"/>
        <v xml:space="preserve"> </v>
      </c>
      <c r="U174" s="36" t="str">
        <f t="shared" si="136"/>
        <v xml:space="preserve"> </v>
      </c>
      <c r="V174" s="36" t="str">
        <f t="shared" si="136"/>
        <v xml:space="preserve"> 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 x14ac:dyDescent="0.3">
      <c r="A175" s="37"/>
      <c r="B175" s="156"/>
      <c r="C175" s="41">
        <f>SUM(C161:C173)</f>
        <v>923.09499999999991</v>
      </c>
      <c r="D175" s="223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 t="str">
        <f t="shared" si="137"/>
        <v xml:space="preserve"> </v>
      </c>
      <c r="U175" s="40" t="str">
        <f t="shared" si="137"/>
        <v xml:space="preserve"> </v>
      </c>
      <c r="V175" s="40" t="str">
        <f t="shared" si="137"/>
        <v xml:space="preserve"> 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15" customHeight="1" x14ac:dyDescent="0.25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 x14ac:dyDescent="0.25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 x14ac:dyDescent="0.25">
      <c r="A178" s="27">
        <f t="shared" ref="A178:A189" si="138">IF(SUM(E178:AD178)=0,(" "),COUNTIF(E178:AD178,"&gt;0"))</f>
        <v>5</v>
      </c>
      <c r="B178" s="28" t="str">
        <f>Wildert1!A4</f>
        <v>Adriaansen Jan</v>
      </c>
      <c r="C178" s="32">
        <f>IF(Wildert1!AL4=0," ",SUM(E178:AD178))</f>
        <v>43.528999999999996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 t="str">
        <f>IF(Wildert1!Y4=(""),(""),ROUND(Wildert1!Y4/Wildert1!$T4*10,3))</f>
        <v/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 x14ac:dyDescent="0.25">
      <c r="A179" s="27">
        <f t="shared" si="138"/>
        <v>8</v>
      </c>
      <c r="B179" s="28" t="str">
        <f>Wildert1!A5</f>
        <v>Brouwers Adri</v>
      </c>
      <c r="C179" s="32">
        <f>IF(Wildert1!AL5=0," ",SUM(E179:AD179))</f>
        <v>69.736999999999995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 t="str">
        <f>IF(Wildert1!W5=(""),(""),ROUND(Wildert1!W5/Wildert1!$T5*10,3))</f>
        <v/>
      </c>
      <c r="U179" s="36" t="str">
        <f>IF(Wildert1!X5=(""),(""),ROUND(Wildert1!X5/Wildert1!$T5*10,3))</f>
        <v/>
      </c>
      <c r="V179" s="36" t="str">
        <f>IF(Wildert1!Y5=(""),(""),ROUND(Wildert1!Y5/Wildert1!$T5*10,3))</f>
        <v/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 x14ac:dyDescent="0.25">
      <c r="A180" s="27">
        <f t="shared" si="138"/>
        <v>9</v>
      </c>
      <c r="B180" s="38" t="str">
        <f>Wildert1!A6</f>
        <v>Buijk Jan  [NS 55]</v>
      </c>
      <c r="C180" s="32">
        <f>IF(Wildert1!AL6=0," ",SUM(E180:AD180))</f>
        <v>96.862000000000009</v>
      </c>
      <c r="E180" s="265">
        <f>IF(Wildert1!C6=(""),(""),ROUND(Wildert1!C6/55*10,3))</f>
        <v>10.727</v>
      </c>
      <c r="F180" s="265">
        <f>IF(Wildert1!D6=(""),(""),ROUND(Wildert1!D6/55*10,3))</f>
        <v>8.5449999999999999</v>
      </c>
      <c r="G180" s="265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 t="str">
        <f>IF(Wildert1!X6=(""),(""),ROUND(Wildert1!X6/Wildert1!$T6*10,3))</f>
        <v/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 x14ac:dyDescent="0.25">
      <c r="A181" s="27">
        <f t="shared" si="138"/>
        <v>4</v>
      </c>
      <c r="B181" s="81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 x14ac:dyDescent="0.25">
      <c r="A182" s="27">
        <f t="shared" si="138"/>
        <v>9</v>
      </c>
      <c r="B182" s="80" t="str">
        <f>Wildert1!A8</f>
        <v>Dries Louis</v>
      </c>
      <c r="C182" s="32">
        <f>IF(Wildert1!AL8=0," ",SUM(E182:AD182))</f>
        <v>87.190000000000012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 t="str">
        <f>IF(Wildert1!X8=(""),(""),ROUND(Wildert1!X8/Wildert1!$T8*10,3))</f>
        <v/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 x14ac:dyDescent="0.25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 x14ac:dyDescent="0.25">
      <c r="A184" s="27">
        <f t="shared" si="138"/>
        <v>4</v>
      </c>
      <c r="B184" s="28" t="str">
        <f>Wildert1!A10</f>
        <v>Kerstens Ronald</v>
      </c>
      <c r="C184" s="32">
        <f>IF(Wildert1!AL10=0," ",SUM(E184:AD184))</f>
        <v>39.048000000000002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 t="str">
        <f>IF(Wildert1!W10=(""),(""),ROUND(Wildert1!W10/Wildert1!$T10*10,3))</f>
        <v/>
      </c>
      <c r="U184" s="36" t="str">
        <f>IF(Wildert1!X10=(""),(""),ROUND(Wildert1!X10/Wildert1!$T10*10,3))</f>
        <v/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 x14ac:dyDescent="0.25">
      <c r="A185" s="27">
        <f t="shared" si="138"/>
        <v>6</v>
      </c>
      <c r="B185" s="28" t="str">
        <f>Wildert1!A11</f>
        <v xml:space="preserve">Konings Guido </v>
      </c>
      <c r="C185" s="32">
        <f>IF(Wildert1!AL11=0," ",SUM(E185:AD185))</f>
        <v>82.084000000000003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 t="str">
        <f>IF(Wildert1!W11=(""),(""),ROUND(Wildert1!W11/Wildert1!$T11*10,3))</f>
        <v/>
      </c>
      <c r="U185" s="36" t="str">
        <f>IF(Wildert1!X11=(""),(""),ROUND(Wildert1!X11/Wildert1!$T11*10,3))</f>
        <v/>
      </c>
      <c r="V185" s="36" t="str">
        <f>IF(Wildert1!Y11=(""),(""),ROUND(Wildert1!Y11/Wildert1!$T11*10,3))</f>
        <v/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 x14ac:dyDescent="0.25">
      <c r="A186" s="27">
        <f t="shared" si="138"/>
        <v>9</v>
      </c>
      <c r="B186" s="28" t="str">
        <f>Wildert1!A12</f>
        <v xml:space="preserve">Kustermans Toon </v>
      </c>
      <c r="C186" s="32">
        <f>IF(Wildert1!AL12=0," ",SUM(E186:AD186))</f>
        <v>85.788999999999987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 t="str">
        <f>IF(Wildert1!Y12=(""),(""),ROUND(Wildert1!Y12/Wildert1!$T12*10,3))</f>
        <v/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 x14ac:dyDescent="0.25">
      <c r="A187" s="27">
        <f t="shared" si="138"/>
        <v>8</v>
      </c>
      <c r="B187" s="28" t="str">
        <f>Wildert1!A13</f>
        <v xml:space="preserve">Sarra-Ribo Jef      </v>
      </c>
      <c r="C187" s="32">
        <f>IF(Wildert1!AL13=0," ",SUM(E187:AD187))</f>
        <v>77.727000000000004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 t="str">
        <f>IF(Wildert1!W13=(""),(""),ROUND(Wildert1!W13/Wildert1!$T13*10,3))</f>
        <v/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 x14ac:dyDescent="0.25">
      <c r="A188" s="27">
        <f t="shared" si="138"/>
        <v>6</v>
      </c>
      <c r="B188" s="28" t="str">
        <f>Wildert1!A14</f>
        <v>Sas Ronny</v>
      </c>
      <c r="C188" s="32">
        <f>IF(Wildert1!AL14=0," ",SUM(E188:AD188))</f>
        <v>55.332999999999998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 t="str">
        <f>IF(Wildert1!X14=(""),(""),ROUND(Wildert1!X14/Wildert1!$T14*10,3))</f>
        <v/>
      </c>
      <c r="V188" s="36" t="str">
        <f>IF(Wildert1!Y14=(""),(""),ROUND(Wildert1!Y14/Wildert1!$T14*10,3))</f>
        <v/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 x14ac:dyDescent="0.25">
      <c r="A189" s="27">
        <f t="shared" si="138"/>
        <v>10</v>
      </c>
      <c r="B189" s="28" t="str">
        <f>Wildert1!A15</f>
        <v>Thijs Jef</v>
      </c>
      <c r="C189" s="32">
        <f>IF(Wildert1!AL15=0," ",SUM(E189:AD189))</f>
        <v>100.477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 t="str">
        <f>IF(Wildert1!W15=(""),(""),ROUND(Wildert1!W15/Wildert1!$T15*10,3))</f>
        <v/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 x14ac:dyDescent="0.25">
      <c r="A190" s="27">
        <f t="shared" ref="A190" si="139">IF(SUM(E190:AD190)=0,(" "),COUNTIF(E190:AD190,"&gt;0"))</f>
        <v>6</v>
      </c>
      <c r="B190" s="38" t="str">
        <f>Wildert1!A16</f>
        <v xml:space="preserve">Wetzer Rik [NS 20] </v>
      </c>
      <c r="C190" s="32">
        <f>IF(Wildert1!AL16=0," ",SUM(E190:AD190))</f>
        <v>48.334000000000003</v>
      </c>
      <c r="E190" s="36" t="str">
        <f>IF(Wildert1!C16=(""),(""),ROUND(Wildert1!C16/Wildert1!$B16*10,3))</f>
        <v/>
      </c>
      <c r="F190" s="265">
        <f>IF(Wildert1!D16=(""),(""),ROUND(Wildert1!D16/20*10,3))</f>
        <v>4</v>
      </c>
      <c r="G190" s="36" t="str">
        <f>IF(Wildert1!E16=(""),(""),ROUND(Wildert1!E16/Wildert1!$B16*10,3))</f>
        <v/>
      </c>
      <c r="H190" s="265">
        <f>IF(Wildert1!F16=(""),(""),ROUND(Wildert1!F16/20*10,3))</f>
        <v>8.5</v>
      </c>
      <c r="I190" s="36" t="str">
        <f>IF(Wildert1!G16=(""),(""),ROUND(Wildert1!G16/Wildert1!$B16*10,3))</f>
        <v/>
      </c>
      <c r="J190" s="265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 t="str">
        <f>IF(Wildert1!Y16=(""),(""),ROUND(Wildert1!Y16/Wildert1!$T16*10,3))</f>
        <v/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 x14ac:dyDescent="0.25">
      <c r="A191" s="27">
        <f t="shared" ref="A191" si="140">IF(SUM(E191:AD191)=0,(" "),COUNTIF(E191:AD191,"&gt;0"))</f>
        <v>1</v>
      </c>
      <c r="B191" s="38" t="str">
        <f>Wildert1!A17</f>
        <v>Seymus Eddy (ns)</v>
      </c>
      <c r="C191" s="32">
        <f>IF(Wildert1!AL17=0," ",SUM(E191:AD191))</f>
        <v>8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36">
        <f>IF(Wildert1!U17=(""),(""),ROUND(Wildert1!U17/Wildert1!$T17*10,3))</f>
        <v>8</v>
      </c>
      <c r="S191" s="36" t="str">
        <f>IF(Wildert1!V17=(""),(""),ROUND(Wildert1!V17/Wildert1!$T17*10,3))</f>
        <v/>
      </c>
      <c r="T191" s="36" t="str">
        <f>IF(Wildert1!W17=(""),(""),ROUND(Wildert1!W17/Wildert1!$T17*10,3))</f>
        <v/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899999999999999" customHeight="1" x14ac:dyDescent="0.25">
      <c r="C192" s="216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 t="str">
        <f t="shared" si="141"/>
        <v xml:space="preserve"> </v>
      </c>
      <c r="U192" s="36" t="str">
        <f t="shared" si="141"/>
        <v xml:space="preserve"> </v>
      </c>
      <c r="V192" s="36" t="str">
        <f t="shared" si="141"/>
        <v xml:space="preserve"> 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 x14ac:dyDescent="0.3">
      <c r="A193" s="37"/>
      <c r="B193" s="156"/>
      <c r="C193" s="41">
        <f>SUM(C178:C191)</f>
        <v>890.11099999999988</v>
      </c>
      <c r="D193" s="223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 t="str">
        <f t="shared" si="142"/>
        <v xml:space="preserve"> </v>
      </c>
      <c r="U193" s="40" t="str">
        <f t="shared" si="142"/>
        <v xml:space="preserve"> </v>
      </c>
      <c r="V193" s="40" t="str">
        <f t="shared" si="142"/>
        <v xml:space="preserve"> 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15" customHeight="1" x14ac:dyDescent="0.25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 x14ac:dyDescent="0.25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 x14ac:dyDescent="0.25">
      <c r="A196" s="27">
        <f t="shared" ref="A196:A206" si="143">IF(SUM(E196:AD196)=0,(" "),COUNTIF(E196:AD196,"&gt;0"))</f>
        <v>4</v>
      </c>
      <c r="B196" s="28" t="str">
        <f>Wildert2!A4</f>
        <v xml:space="preserve">Aernouts Johan  </v>
      </c>
      <c r="C196" s="32">
        <f>IF(Wildert2!AL4=0," ",SUM(E196:AD196))</f>
        <v>42.791000000000004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 t="str">
        <f>IF(Wildert2!X4=(""),(""),ROUND(Wildert2!X4/Wildert2!$T4*10,3))</f>
        <v/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 x14ac:dyDescent="0.25">
      <c r="A197" s="27">
        <f t="shared" si="143"/>
        <v>13</v>
      </c>
      <c r="B197" s="81" t="str">
        <f>Wildert2!A5</f>
        <v>Eestermans René</v>
      </c>
      <c r="C197" s="32">
        <f>IF(Wildert2!AL5=0," ",SUM(E197:AD197))</f>
        <v>143.571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69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68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 x14ac:dyDescent="0.25">
      <c r="A198" s="27">
        <f t="shared" si="143"/>
        <v>13</v>
      </c>
      <c r="B198" s="28" t="str">
        <f>Wildert2!A6</f>
        <v xml:space="preserve">Eijckholt Adrie              </v>
      </c>
      <c r="C198" s="32">
        <f>IF(Wildert2!AL6=0," ",SUM(E198:AD198))</f>
        <v>124.52399999999999</v>
      </c>
      <c r="E198" s="36">
        <f>IF(Wildert2!C6=(""),(""),ROUND(Wildert2!C6/Wildert2!$B6*10,3))</f>
        <v>9.048</v>
      </c>
      <c r="F198" s="269">
        <f>IF(Wildert2!D6=(""),(""),ROUND(Wildert2!D6/Wildert2!$B6*10,3))</f>
        <v>11.667</v>
      </c>
      <c r="G198" s="269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68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 t="str">
        <f>IF(Wildert2!W6=(""),(""),ROUND(Wildert2!W6/Wildert2!$T6*10,3))</f>
        <v/>
      </c>
      <c r="U198" s="36" t="str">
        <f>IF(Wildert2!X6=(""),(""),ROUND(Wildert2!X6/Wildert2!$T6*10,3))</f>
        <v/>
      </c>
      <c r="V198" s="36" t="str">
        <f>IF(Wildert2!Y6=(""),(""),ROUND(Wildert2!Y6/Wildert2!$T6*10,3))</f>
        <v/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 x14ac:dyDescent="0.25">
      <c r="A199" s="27">
        <f t="shared" si="143"/>
        <v>13</v>
      </c>
      <c r="B199" s="81" t="str">
        <f>Wildert2!A7</f>
        <v xml:space="preserve">Francken Robert </v>
      </c>
      <c r="C199" s="93">
        <f>IF(Wildert2!AL7=0," ",SUM(E199:AD199))</f>
        <v>156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68">
        <f>IF(Wildert2!H7=(""),(""),ROUND(Wildert2!H7/Wildert2!$B7*10,3))</f>
        <v>16.25</v>
      </c>
      <c r="K199" s="268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 t="str">
        <f>IF(Wildert2!W7=(""),(""),ROUND(Wildert2!W7/Wildert2!$T7*10,3))</f>
        <v/>
      </c>
      <c r="U199" s="36" t="str">
        <f>IF(Wildert2!X7=(""),(""),ROUND(Wildert2!X7/Wildert2!$T7*10,3))</f>
        <v/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 x14ac:dyDescent="0.25">
      <c r="A200" s="27">
        <f t="shared" si="143"/>
        <v>7</v>
      </c>
      <c r="B200" s="81" t="str">
        <f>Wildert2!A8</f>
        <v xml:space="preserve">Leys Herman </v>
      </c>
      <c r="C200" s="32">
        <f>IF(Wildert2!AL8=0," ",SUM(E200:AD200))</f>
        <v>89.064000000000007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 t="str">
        <f>IF(Wildert2!W8=(""),(""),ROUND(Wildert2!W8/Wildert2!$T8*10,3))</f>
        <v/>
      </c>
      <c r="U200" s="36" t="str">
        <f>IF(Wildert2!X8=(""),(""),ROUND(Wildert2!X8/Wildert2!$T8*10,3))</f>
        <v/>
      </c>
      <c r="V200" s="36" t="str">
        <f>IF(Wildert2!Y8=(""),(""),ROUND(Wildert2!Y8/Wildert2!$T8*10,3))</f>
        <v/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 x14ac:dyDescent="0.25">
      <c r="A201" s="27" t="str">
        <f t="shared" si="143"/>
        <v xml:space="preserve"> </v>
      </c>
      <c r="B201" s="28" t="str">
        <f>Wildert2!A9</f>
        <v>Mutsters Louis</v>
      </c>
      <c r="C201" s="93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 x14ac:dyDescent="0.25">
      <c r="A202" s="27">
        <f t="shared" si="143"/>
        <v>5</v>
      </c>
      <c r="B202" s="210" t="str">
        <f>Wildert2!A10</f>
        <v>Peeters Hugo [NS 36]</v>
      </c>
      <c r="C202" s="32">
        <f>IF(Wildert2!AL10=0," ",SUM(E202:AD202))</f>
        <v>51.60199999999999</v>
      </c>
      <c r="E202" s="265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65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65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 t="str">
        <f>IF(Wildert2!X10=(""),(""),ROUND(Wildert2!X10/Wildert2!$T10*10,3))</f>
        <v/>
      </c>
      <c r="V202" s="36" t="str">
        <f>IF(Wildert2!Y10=(""),(""),ROUND(Wildert2!Y10/Wildert2!$T10*10,3))</f>
        <v/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 x14ac:dyDescent="0.25">
      <c r="A203" s="27">
        <f t="shared" si="143"/>
        <v>10</v>
      </c>
      <c r="B203" s="38" t="str">
        <f>Wildert2!A11</f>
        <v xml:space="preserve">Scholtis Vic  [NS 49] </v>
      </c>
      <c r="C203" s="32">
        <f>IF(Wildert2!AL11=0," ",SUM(E203:AD203))</f>
        <v>111.17800000000001</v>
      </c>
      <c r="E203" s="36" t="str">
        <f>IF(Wildert2!C11=(""),(""),ROUND(Wildert2!C11/Wildert2!$B11*10,3))</f>
        <v/>
      </c>
      <c r="F203" s="265">
        <f>IF(Wildert2!D11=(""),(""),ROUND(Wildert2!D11/49*10,3))</f>
        <v>4.8979999999999997</v>
      </c>
      <c r="G203" s="36" t="str">
        <f>IF(Wildert2!E11=(""),(""),ROUND(Wildert2!E11/Wildert2!$B11*10,3))</f>
        <v/>
      </c>
      <c r="H203" s="265">
        <f>IF(Wildert2!F11=(""),(""),ROUND(Wildert2!F11/49*10,3))</f>
        <v>10</v>
      </c>
      <c r="I203" s="265">
        <f>IF(Wildert2!G11=(""),(""),ROUND(Wildert2!G11/49*10,3))</f>
        <v>6.5309999999999997</v>
      </c>
      <c r="J203" s="268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 t="str">
        <f>IF(Wildert2!W11=(""),(""),ROUND(Wildert2!W11/Wildert2!$T11*10,3))</f>
        <v/>
      </c>
      <c r="U203" s="36" t="str">
        <f>IF(Wildert2!X11=(""),(""),ROUND(Wildert2!X11/Wildert2!$T11*10,3))</f>
        <v/>
      </c>
      <c r="V203" s="36" t="str">
        <f>IF(Wildert2!Y11=(""),(""),ROUND(Wildert2!Y11/Wildert2!$T11*10,3))</f>
        <v/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 x14ac:dyDescent="0.25">
      <c r="A204" s="27">
        <f t="shared" si="143"/>
        <v>2</v>
      </c>
      <c r="B204" s="80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 x14ac:dyDescent="0.25">
      <c r="A205" s="27">
        <f t="shared" si="143"/>
        <v>10</v>
      </c>
      <c r="B205" s="28" t="str">
        <f>Wildert2!A13</f>
        <v xml:space="preserve">Van Ginneken Ludo </v>
      </c>
      <c r="C205" s="32">
        <f>IF(Wildert2!AL13=0," ",SUM(E205:AD205))</f>
        <v>108.88800000000001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69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68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 t="str">
        <f>IF(Wildert2!W13=(""),(""),ROUND(Wildert2!W13/Wildert2!$T13*10,3))</f>
        <v/>
      </c>
      <c r="U205" s="36" t="str">
        <f>IF(Wildert2!X13=(""),(""),ROUND(Wildert2!X13/Wildert2!$T13*10,3))</f>
        <v/>
      </c>
      <c r="V205" s="36" t="str">
        <f>IF(Wildert2!Y13=(""),(""),ROUND(Wildert2!Y13/Wildert2!$T13*10,3))</f>
        <v/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 x14ac:dyDescent="0.25">
      <c r="A206" s="27">
        <f t="shared" si="143"/>
        <v>9</v>
      </c>
      <c r="B206" s="28" t="str">
        <f>Wildert2!A14</f>
        <v>Van Hooydonck Swa</v>
      </c>
      <c r="C206" s="32">
        <f>IF(Wildert2!AL14=0," ",SUM(E206:AD206))</f>
        <v>84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69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 t="str">
        <f>IF(Wildert2!W14=(""),(""),ROUND(Wildert2!W14/Wildert2!$T14*10,3))</f>
        <v/>
      </c>
      <c r="U206" s="36" t="str">
        <f>IF(Wildert2!X14=(""),(""),ROUND(Wildert2!X14/Wildert2!$T14*10,3))</f>
        <v/>
      </c>
      <c r="V206" s="36" t="str">
        <f>IF(Wildert2!Y14=(""),(""),ROUND(Wildert2!Y14/Wildert2!$T14*10,3))</f>
        <v/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899999999999999" customHeight="1" x14ac:dyDescent="0.25">
      <c r="A207" s="27">
        <f t="shared" ref="A207" si="144">IF(SUM(E207:AD207)=0,(" "),COUNTIF(E207:AD207,"&gt;0"))</f>
        <v>4</v>
      </c>
      <c r="B207" s="28" t="str">
        <f>Wildert2!A15</f>
        <v>Wiericx Herman</v>
      </c>
      <c r="C207" s="32">
        <f>IF(Wildert2!AL15=0," ",SUM(E207:AD207))</f>
        <v>46.2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69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15" customHeight="1" x14ac:dyDescent="0.25">
      <c r="C208" s="216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 t="str">
        <f t="shared" si="145"/>
        <v xml:space="preserve"> </v>
      </c>
      <c r="U208" s="36" t="str">
        <f t="shared" si="145"/>
        <v xml:space="preserve"> </v>
      </c>
      <c r="V208" s="36" t="str">
        <f t="shared" si="145"/>
        <v xml:space="preserve"> 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 x14ac:dyDescent="0.3">
      <c r="A209" s="37"/>
      <c r="B209" s="38"/>
      <c r="C209" s="41">
        <f>SUM(C196:C207)</f>
        <v>988.36799999999994</v>
      </c>
      <c r="D209" s="258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 t="str">
        <f t="shared" si="146"/>
        <v xml:space="preserve"> </v>
      </c>
      <c r="U209" s="40" t="str">
        <f t="shared" si="146"/>
        <v xml:space="preserve"> </v>
      </c>
      <c r="V209" s="40" t="str">
        <f t="shared" si="146"/>
        <v xml:space="preserve"> 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15" customHeight="1" x14ac:dyDescent="0.25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 x14ac:dyDescent="0.25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 x14ac:dyDescent="0.25">
      <c r="A212" s="27">
        <f t="shared" ref="A212:A222" si="147">IF(SUM(E212:AD212)=0,(" "),COUNTIF(E212:AD212,"&gt;0"))</f>
        <v>8</v>
      </c>
      <c r="B212" s="28" t="str">
        <f>DeBeek!A4</f>
        <v xml:space="preserve">Bergmans Armand </v>
      </c>
      <c r="C212" s="32">
        <f>IF(DeBeek!AL4=0," ",SUM(E212:AD212))</f>
        <v>84.481999999999999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 t="str">
        <f>IF(DeBeek!X4=(""),(""),ROUND(DeBeek!X4/DeBeek!$T4*10,3))</f>
        <v/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 x14ac:dyDescent="0.25">
      <c r="A213" s="27">
        <f t="shared" si="147"/>
        <v>8</v>
      </c>
      <c r="B213" s="80" t="str">
        <f>DeBeek!A5</f>
        <v>Beyers Armand</v>
      </c>
      <c r="C213" s="32">
        <f>IF(DeBeek!AL5=0," ",SUM(E213:AD213))</f>
        <v>91.111000000000004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 t="str">
        <f>IF(DeBeek!W5=(""),(""),ROUND(DeBeek!W5/DeBeek!$T5*10,3))</f>
        <v/>
      </c>
      <c r="U213" s="36" t="str">
        <f>IF(DeBeek!X5=(""),(""),ROUND(DeBeek!X5/DeBeek!$T5*10,3))</f>
        <v/>
      </c>
      <c r="V213" s="36" t="str">
        <f>IF(DeBeek!Y5=(""),(""),ROUND(DeBeek!Y5/DeBeek!$T5*10,3))</f>
        <v/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 x14ac:dyDescent="0.25">
      <c r="A214" s="27">
        <f t="shared" si="147"/>
        <v>11</v>
      </c>
      <c r="B214" s="81" t="str">
        <f>DeBeek!A6</f>
        <v xml:space="preserve">Beyers Roger </v>
      </c>
      <c r="C214" s="32">
        <f>IF(DeBeek!AL6=0," ",SUM(E214:AD214))</f>
        <v>104.13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 t="str">
        <f>IF(DeBeek!Y6=(""),(""),ROUND(DeBeek!Y6/DeBeek!$T6*10,3))</f>
        <v/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 x14ac:dyDescent="0.25">
      <c r="A215" s="27">
        <f t="shared" si="147"/>
        <v>8</v>
      </c>
      <c r="B215" s="28" t="str">
        <f>DeBeek!A7</f>
        <v xml:space="preserve">Binnemans Rene </v>
      </c>
      <c r="C215" s="32">
        <f>IF(DeBeek!AL7=0," ",SUM(E215:AD215))</f>
        <v>82.727000000000004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 t="str">
        <f>IF(DeBeek!W7=(""),(""),ROUND(DeBeek!W7/DeBeek!$T7*10,3))</f>
        <v/>
      </c>
      <c r="U215" s="36" t="str">
        <f>IF(DeBeek!X7=(""),(""),ROUND(DeBeek!X7/DeBeek!$T7*10,3))</f>
        <v/>
      </c>
      <c r="V215" s="36" t="str">
        <f>IF(DeBeek!Y7=(""),(""),ROUND(DeBeek!Y7/DeBeek!$T7*10,3))</f>
        <v/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 x14ac:dyDescent="0.25">
      <c r="A216" s="27">
        <f t="shared" si="147"/>
        <v>10</v>
      </c>
      <c r="B216" s="81" t="str">
        <f>DeBeek!A8</f>
        <v>De Crom Ludo</v>
      </c>
      <c r="C216" s="32">
        <f>IF(DeBeek!AL8=0," ",SUM(E216:AD216))</f>
        <v>79.584000000000003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 t="str">
        <f>IF(DeBeek!W8=(""),(""),ROUND(DeBeek!W8/DeBeek!$T8*10,3))</f>
        <v/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 x14ac:dyDescent="0.25">
      <c r="A217" s="27">
        <f t="shared" si="147"/>
        <v>9</v>
      </c>
      <c r="B217" s="176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 x14ac:dyDescent="0.25">
      <c r="A218" s="27">
        <f t="shared" si="147"/>
        <v>9</v>
      </c>
      <c r="B218" s="81" t="str">
        <f>DeBeek!A10</f>
        <v xml:space="preserve">Heyndrickx Alfons   </v>
      </c>
      <c r="C218" s="32">
        <f>IF(DeBeek!AL10=0," ",SUM(E218:AD218))</f>
        <v>105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 t="str">
        <f>IF(DeBeek!W10=(""),(""),ROUND(DeBeek!W10/DeBeek!$T10*10,3))</f>
        <v/>
      </c>
      <c r="U218" s="36" t="str">
        <f>IF(DeBeek!X10=(""),(""),ROUND(DeBeek!X10/DeBeek!$T10*10,3))</f>
        <v/>
      </c>
      <c r="V218" s="36" t="str">
        <f>IF(DeBeek!Y10=(""),(""),ROUND(DeBeek!Y10/DeBeek!$T10*10,3))</f>
        <v/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 x14ac:dyDescent="0.25">
      <c r="A219" s="27">
        <f t="shared" si="147"/>
        <v>9</v>
      </c>
      <c r="B219" s="28" t="str">
        <f>DeBeek!A11</f>
        <v xml:space="preserve">Van Looveren Dirk </v>
      </c>
      <c r="C219" s="32">
        <f>IF(DeBeek!AL11=0," ",SUM(E219:AD219))</f>
        <v>84.090999999999994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 t="str">
        <f>IF(DeBeek!W11=(""),(""),ROUND(DeBeek!W11/DeBeek!$T11*10,3))</f>
        <v/>
      </c>
      <c r="U219" s="36" t="str">
        <f>IF(DeBeek!X11=(""),(""),ROUND(DeBeek!X11/DeBeek!$T11*10,3))</f>
        <v/>
      </c>
      <c r="V219" s="36" t="str">
        <f>IF(DeBeek!Y11=(""),(""),ROUND(DeBeek!Y11/DeBeek!$T11*10,3))</f>
        <v/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 x14ac:dyDescent="0.25">
      <c r="A220" s="27">
        <f t="shared" si="147"/>
        <v>10</v>
      </c>
      <c r="B220" s="28" t="str">
        <f>DeBeek!A12</f>
        <v>Van Wesenbeeck Marcel</v>
      </c>
      <c r="C220" s="32">
        <f>IF(DeBeek!AL12=0," ",SUM(E220:AD220))</f>
        <v>93.927999999999997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 t="str">
        <f>IF(DeBeek!W12=(""),(""),ROUND(DeBeek!W12/DeBeek!$T12*10,3))</f>
        <v/>
      </c>
      <c r="U220" s="36" t="str">
        <f>IF(DeBeek!X12=(""),(""),ROUND(DeBeek!X12/DeBeek!$T12*10,3))</f>
        <v/>
      </c>
      <c r="V220" s="36" t="str">
        <f>IF(DeBeek!Y12=(""),(""),ROUND(DeBeek!Y12/DeBeek!$T12*10,3))</f>
        <v/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 x14ac:dyDescent="0.25">
      <c r="A221" s="27">
        <f t="shared" si="147"/>
        <v>8</v>
      </c>
      <c r="B221" s="28" t="str">
        <f>DeBeek!A13</f>
        <v xml:space="preserve">Verhulst Adri     </v>
      </c>
      <c r="C221" s="32">
        <f>IF(DeBeek!AL13=0," ",SUM(E221:AD221))</f>
        <v>72.354000000000013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 t="str">
        <f>IF(DeBeek!X13=(""),(""),ROUND(DeBeek!X13/DeBeek!$T13*10,3))</f>
        <v/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 x14ac:dyDescent="0.25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15" customHeight="1" x14ac:dyDescent="0.25">
      <c r="C223" s="216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 t="str">
        <f t="shared" si="148"/>
        <v xml:space="preserve"> </v>
      </c>
      <c r="U223" s="36" t="str">
        <f t="shared" si="148"/>
        <v xml:space="preserve"> </v>
      </c>
      <c r="V223" s="36" t="str">
        <f t="shared" si="148"/>
        <v xml:space="preserve"> 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 x14ac:dyDescent="0.3">
      <c r="A224" s="37"/>
      <c r="B224" s="38"/>
      <c r="C224" s="41">
        <f>SUM(C212:C222)</f>
        <v>882.62600000000009</v>
      </c>
      <c r="D224" s="223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 t="str">
        <f t="shared" si="149"/>
        <v xml:space="preserve"> </v>
      </c>
      <c r="U224" s="40" t="str">
        <f t="shared" si="149"/>
        <v xml:space="preserve"> </v>
      </c>
      <c r="V224" s="40" t="str">
        <f t="shared" si="149"/>
        <v xml:space="preserve"> 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 x14ac:dyDescent="0.25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25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25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25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25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25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25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25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25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25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25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25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25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 x14ac:dyDescent="0.25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 x14ac:dyDescent="0.25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topLeftCell="A113" zoomScale="115" zoomScaleNormal="115" workbookViewId="0">
      <selection activeCell="L136" sqref="L136"/>
    </sheetView>
  </sheetViews>
  <sheetFormatPr defaultRowHeight="15.75" x14ac:dyDescent="0.25"/>
  <cols>
    <col min="1" max="1" width="32.85546875" style="86" customWidth="1"/>
    <col min="2" max="2" width="19.42578125" style="27" customWidth="1"/>
    <col min="3" max="3" width="20" style="27" customWidth="1"/>
    <col min="4" max="5" width="12.7109375" customWidth="1"/>
  </cols>
  <sheetData>
    <row r="1" spans="1:5" ht="25.15" customHeight="1" x14ac:dyDescent="0.25">
      <c r="A1" s="294" t="s">
        <v>286</v>
      </c>
      <c r="B1" s="294"/>
      <c r="C1" s="294"/>
      <c r="D1" s="294"/>
      <c r="E1" s="213" t="s">
        <v>334</v>
      </c>
    </row>
    <row r="2" spans="1:5" ht="21" customHeight="1" x14ac:dyDescent="0.25">
      <c r="A2" s="295" t="s">
        <v>287</v>
      </c>
      <c r="B2" s="295"/>
      <c r="C2" s="295"/>
      <c r="D2" s="295"/>
      <c r="E2" s="220">
        <f>Rangschikking!E3</f>
        <v>46038</v>
      </c>
    </row>
    <row r="3" spans="1:5" s="84" customFormat="1" ht="25.15" customHeight="1" x14ac:dyDescent="0.2">
      <c r="A3" s="86"/>
      <c r="B3" s="87" t="s">
        <v>35</v>
      </c>
      <c r="C3" s="88"/>
    </row>
    <row r="4" spans="1:5" s="31" customFormat="1" x14ac:dyDescent="0.25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" customHeight="1" x14ac:dyDescent="0.2">
      <c r="A5" s="86"/>
      <c r="B5" s="88"/>
      <c r="C5" s="88"/>
    </row>
    <row r="6" spans="1:5" s="84" customFormat="1" ht="15" x14ac:dyDescent="0.2">
      <c r="A6" s="86">
        <v>45873</v>
      </c>
      <c r="B6" s="88" t="s">
        <v>11</v>
      </c>
      <c r="C6" s="88" t="s">
        <v>12</v>
      </c>
      <c r="D6" s="104">
        <f>VLOOKUP(B6,Punten!$C$3:$AD$224,3,0)</f>
        <v>60.343999999999994</v>
      </c>
      <c r="E6" s="104">
        <f>VLOOKUP(C6,Punten!$C$3:$AD$224,3,0)</f>
        <v>63.094999999999999</v>
      </c>
    </row>
    <row r="7" spans="1:5" s="84" customFormat="1" ht="15" x14ac:dyDescent="0.2">
      <c r="A7" s="127">
        <v>45874</v>
      </c>
      <c r="B7" s="98" t="s">
        <v>291</v>
      </c>
      <c r="C7" s="105" t="s">
        <v>7</v>
      </c>
      <c r="D7" s="104">
        <f>VLOOKUP(B7,Punten!$C$3:$AD$224,3,0)</f>
        <v>50.902000000000001</v>
      </c>
      <c r="E7" s="104">
        <f>VLOOKUP(C7,Punten!$C$3:$AD$224,3,0)</f>
        <v>83.358999999999995</v>
      </c>
    </row>
    <row r="8" spans="1:5" s="84" customFormat="1" ht="15" x14ac:dyDescent="0.2">
      <c r="A8" s="172">
        <v>45874</v>
      </c>
      <c r="B8" s="171" t="s">
        <v>9</v>
      </c>
      <c r="C8" s="171" t="s">
        <v>8</v>
      </c>
      <c r="D8" s="104">
        <f>VLOOKUP(B8,Punten!$C$3:$AD$224,3,0)</f>
        <v>61.838000000000001</v>
      </c>
      <c r="E8" s="104">
        <f>VLOOKUP(C8,Punten!$C$3:$AD$224,3,0)</f>
        <v>58.744</v>
      </c>
    </row>
    <row r="9" spans="1:5" s="84" customFormat="1" ht="15" x14ac:dyDescent="0.2">
      <c r="A9" s="119">
        <v>45875</v>
      </c>
      <c r="B9" s="98" t="s">
        <v>6</v>
      </c>
      <c r="C9" s="98" t="s">
        <v>16</v>
      </c>
      <c r="D9" s="104">
        <f>VLOOKUP(B9,Punten!$C$3:$AD$224,3,0)</f>
        <v>71.248000000000005</v>
      </c>
      <c r="E9" s="104">
        <f>VLOOKUP(C9,Punten!$C$3:$AD$224,3,0)</f>
        <v>36.027999999999999</v>
      </c>
    </row>
    <row r="10" spans="1:5" s="84" customFormat="1" ht="15" x14ac:dyDescent="0.2">
      <c r="A10" s="96">
        <v>45875</v>
      </c>
      <c r="B10" s="98" t="s">
        <v>5</v>
      </c>
      <c r="C10" s="98" t="s">
        <v>15</v>
      </c>
      <c r="D10" s="104">
        <f>VLOOKUP(B10,Punten!$C$3:$AD$224,3,0)</f>
        <v>54.572000000000003</v>
      </c>
      <c r="E10" s="104">
        <f>VLOOKUP(C10,Punten!$C$3:$AD$224,3,0)</f>
        <v>56.893000000000001</v>
      </c>
    </row>
    <row r="11" spans="1:5" s="84" customFormat="1" ht="15" x14ac:dyDescent="0.2">
      <c r="A11" s="86">
        <v>45876</v>
      </c>
      <c r="B11" s="88" t="s">
        <v>10</v>
      </c>
      <c r="C11" s="88" t="s">
        <v>290</v>
      </c>
      <c r="D11" s="104">
        <f>VLOOKUP(B11,Punten!$C$3:$AD$224,3,0)</f>
        <v>55.038999999999994</v>
      </c>
      <c r="E11" s="104">
        <f>VLOOKUP(C11,Punten!$C$3:$AD$224,3,0)</f>
        <v>68.509999999999991</v>
      </c>
    </row>
    <row r="12" spans="1:5" s="84" customFormat="1" ht="15" x14ac:dyDescent="0.2">
      <c r="A12" s="86">
        <v>45876</v>
      </c>
      <c r="B12" s="88" t="s">
        <v>13</v>
      </c>
      <c r="C12" s="157" t="s">
        <v>14</v>
      </c>
      <c r="D12" s="104">
        <f>VLOOKUP(B12,Punten!$C$3:$AD$224,3,0)</f>
        <v>55.621000000000002</v>
      </c>
      <c r="E12" s="104">
        <f>VLOOKUP(C12,Punten!$C$3:$AD$224,3,0)</f>
        <v>71.852000000000004</v>
      </c>
    </row>
    <row r="13" spans="1:5" s="84" customFormat="1" ht="15" x14ac:dyDescent="0.2">
      <c r="A13" s="96"/>
      <c r="B13" s="98"/>
      <c r="C13" s="98"/>
      <c r="D13" s="104"/>
      <c r="E13" s="106"/>
    </row>
    <row r="14" spans="1:5" s="84" customFormat="1" ht="15" x14ac:dyDescent="0.2">
      <c r="A14" s="86">
        <v>45880</v>
      </c>
      <c r="B14" s="88" t="s">
        <v>14</v>
      </c>
      <c r="C14" s="88" t="s">
        <v>290</v>
      </c>
      <c r="D14" s="104">
        <f>VLOOKUP(B14,Punten!$C$3:$AD$224,4,0)</f>
        <v>59.448000000000008</v>
      </c>
      <c r="E14" s="104">
        <f>VLOOKUP(C14,Punten!$C$3:$AD$224,4,0)</f>
        <v>70.873000000000005</v>
      </c>
    </row>
    <row r="15" spans="1:5" s="84" customFormat="1" ht="15" x14ac:dyDescent="0.2">
      <c r="A15" s="86">
        <v>45880</v>
      </c>
      <c r="B15" s="88" t="s">
        <v>7</v>
      </c>
      <c r="C15" s="88" t="s">
        <v>9</v>
      </c>
      <c r="D15" s="104">
        <f>VLOOKUP(B15,Punten!$C$3:$AD$224,4,0)</f>
        <v>54.28</v>
      </c>
      <c r="E15" s="104">
        <f>VLOOKUP(C15,Punten!$C$3:$AD$224,4,0)</f>
        <v>50.216999999999999</v>
      </c>
    </row>
    <row r="16" spans="1:5" s="84" customFormat="1" ht="15" x14ac:dyDescent="0.2">
      <c r="A16" s="86">
        <v>45880</v>
      </c>
      <c r="B16" s="88" t="s">
        <v>15</v>
      </c>
      <c r="C16" s="88" t="s">
        <v>8</v>
      </c>
      <c r="D16" s="104">
        <f>VLOOKUP(B16,Punten!$C$3:$AD$224,4,0)</f>
        <v>53.670999999999999</v>
      </c>
      <c r="E16" s="104">
        <f>VLOOKUP(C16,Punten!$C$3:$AD$224,4,0)</f>
        <v>63.730999999999995</v>
      </c>
    </row>
    <row r="17" spans="1:5" s="84" customFormat="1" ht="15" x14ac:dyDescent="0.2">
      <c r="A17" s="86">
        <v>45881</v>
      </c>
      <c r="B17" s="88" t="s">
        <v>16</v>
      </c>
      <c r="C17" s="88" t="s">
        <v>291</v>
      </c>
      <c r="D17" s="104">
        <f>VLOOKUP(B17,Punten!$C$3:$AD$224,4,0)</f>
        <v>50.080000000000005</v>
      </c>
      <c r="E17" s="104">
        <f>VLOOKUP(C17,Punten!$C$3:$AD$224,4,0)</f>
        <v>53.87</v>
      </c>
    </row>
    <row r="18" spans="1:5" s="84" customFormat="1" ht="15" x14ac:dyDescent="0.2">
      <c r="A18" s="119">
        <v>45882</v>
      </c>
      <c r="B18" s="88" t="s">
        <v>5</v>
      </c>
      <c r="C18" s="88" t="s">
        <v>13</v>
      </c>
      <c r="D18" s="104">
        <f>VLOOKUP(B18,Punten!$C$3:$AD$224,4,0)</f>
        <v>50.721999999999994</v>
      </c>
      <c r="E18" s="104">
        <f>VLOOKUP(C18,Punten!$C$3:$AD$224,4,0)</f>
        <v>73.137</v>
      </c>
    </row>
    <row r="19" spans="1:5" s="84" customFormat="1" ht="15" x14ac:dyDescent="0.2">
      <c r="A19" s="86">
        <v>45883</v>
      </c>
      <c r="B19" s="88" t="s">
        <v>10</v>
      </c>
      <c r="C19" s="88" t="s">
        <v>11</v>
      </c>
      <c r="D19" s="104">
        <f>VLOOKUP(B19,Punten!$C$3:$AD$224,4,0)</f>
        <v>53.09</v>
      </c>
      <c r="E19" s="104">
        <f>VLOOKUP(C19,Punten!$C$3:$AD$224,4,0)</f>
        <v>55.480000000000004</v>
      </c>
    </row>
    <row r="20" spans="1:5" s="84" customFormat="1" ht="15" x14ac:dyDescent="0.2">
      <c r="A20" s="117">
        <v>45883</v>
      </c>
      <c r="B20" s="121" t="s">
        <v>12</v>
      </c>
      <c r="C20" s="121" t="s">
        <v>6</v>
      </c>
      <c r="D20" s="104">
        <f>VLOOKUP(B20,Punten!$C$3:$AD$224,4,0)</f>
        <v>47.492000000000004</v>
      </c>
      <c r="E20" s="104">
        <f>VLOOKUP(C20,Punten!$C$3:$AD$224,4,0)</f>
        <v>43.012999999999998</v>
      </c>
    </row>
    <row r="21" spans="1:5" s="84" customFormat="1" ht="15" x14ac:dyDescent="0.2">
      <c r="A21" s="96"/>
      <c r="B21" s="98"/>
      <c r="C21" s="98"/>
      <c r="D21" s="104"/>
      <c r="E21" s="106"/>
    </row>
    <row r="22" spans="1:5" s="84" customFormat="1" ht="15" x14ac:dyDescent="0.2">
      <c r="A22" s="96">
        <v>45887</v>
      </c>
      <c r="B22" s="98" t="s">
        <v>11</v>
      </c>
      <c r="C22" s="98" t="s">
        <v>14</v>
      </c>
      <c r="D22" s="104">
        <f>VLOOKUP(B22,Punten!$C$3:$AD$224,5,0)</f>
        <v>66.492000000000004</v>
      </c>
      <c r="E22" s="104">
        <f>VLOOKUP(C22,Punten!$C$3:$AD$224,5,0)</f>
        <v>66.72399999999999</v>
      </c>
    </row>
    <row r="23" spans="1:5" s="84" customFormat="1" ht="15" x14ac:dyDescent="0.2">
      <c r="A23" s="96">
        <v>45887</v>
      </c>
      <c r="B23" s="98" t="s">
        <v>15</v>
      </c>
      <c r="C23" s="98" t="s">
        <v>13</v>
      </c>
      <c r="D23" s="104">
        <f>VLOOKUP(B23,Punten!$C$3:$AD$224,5,0)</f>
        <v>58.344000000000001</v>
      </c>
      <c r="E23" s="104">
        <f>VLOOKUP(C23,Punten!$C$3:$AD$224,5,0)</f>
        <v>42.052999999999997</v>
      </c>
    </row>
    <row r="24" spans="1:5" s="84" customFormat="1" ht="15" x14ac:dyDescent="0.2">
      <c r="A24" s="96">
        <v>45887</v>
      </c>
      <c r="B24" s="98" t="s">
        <v>290</v>
      </c>
      <c r="C24" s="98" t="s">
        <v>5</v>
      </c>
      <c r="D24" s="104">
        <f>VLOOKUP(B24,Punten!$C$3:$AD$224,5,0)</f>
        <v>52.679999999999993</v>
      </c>
      <c r="E24" s="104">
        <f>VLOOKUP(C24,Punten!$C$3:$AD$224,5,0)</f>
        <v>58.742999999999995</v>
      </c>
    </row>
    <row r="25" spans="1:5" s="84" customFormat="1" ht="15" x14ac:dyDescent="0.2">
      <c r="A25" s="119">
        <v>45888</v>
      </c>
      <c r="B25" s="98" t="s">
        <v>9</v>
      </c>
      <c r="C25" s="98" t="s">
        <v>16</v>
      </c>
      <c r="D25" s="104">
        <f>VLOOKUP(B25,Punten!$C$3:$AD$224,5,0)</f>
        <v>70.929000000000002</v>
      </c>
      <c r="E25" s="104">
        <f>VLOOKUP(C25,Punten!$C$3:$AD$224,5,0)</f>
        <v>44.808999999999997</v>
      </c>
    </row>
    <row r="26" spans="1:5" s="84" customFormat="1" ht="15" x14ac:dyDescent="0.2">
      <c r="A26" s="96">
        <v>45888</v>
      </c>
      <c r="B26" s="98" t="s">
        <v>8</v>
      </c>
      <c r="C26" s="98" t="s">
        <v>7</v>
      </c>
      <c r="D26" s="104">
        <f>VLOOKUP(B26,Punten!$C$3:$AD$224,5,0)</f>
        <v>64.975000000000009</v>
      </c>
      <c r="E26" s="104">
        <f>VLOOKUP(C26,Punten!$C$3:$AD$224,5,0)</f>
        <v>53.533999999999992</v>
      </c>
    </row>
    <row r="27" spans="1:5" s="84" customFormat="1" ht="15" x14ac:dyDescent="0.2">
      <c r="A27" s="96">
        <v>45888</v>
      </c>
      <c r="B27" s="98" t="s">
        <v>291</v>
      </c>
      <c r="C27" s="105" t="s">
        <v>12</v>
      </c>
      <c r="D27" s="104">
        <f>VLOOKUP(B27,Punten!$C$3:$AD$224,5,0)</f>
        <v>49.937000000000005</v>
      </c>
      <c r="E27" s="104">
        <f>VLOOKUP(C27,Punten!$C$3:$AD$224,5,0)</f>
        <v>63.683000000000007</v>
      </c>
    </row>
    <row r="28" spans="1:5" s="84" customFormat="1" ht="15" x14ac:dyDescent="0.2">
      <c r="A28" s="96">
        <v>45889</v>
      </c>
      <c r="B28" s="98" t="s">
        <v>6</v>
      </c>
      <c r="C28" s="98" t="s">
        <v>10</v>
      </c>
      <c r="D28" s="104">
        <f>VLOOKUP(B28,Punten!$C$3:$AD$224,5,0)</f>
        <v>49.448999999999998</v>
      </c>
      <c r="E28" s="104">
        <f>VLOOKUP(C28,Punten!$C$3:$AD$224,5,0)</f>
        <v>48.46</v>
      </c>
    </row>
    <row r="29" spans="1:5" s="84" customFormat="1" ht="15" x14ac:dyDescent="0.2">
      <c r="A29" s="96"/>
      <c r="B29" s="98"/>
      <c r="C29" s="98"/>
      <c r="D29" s="104"/>
      <c r="E29" s="106"/>
    </row>
    <row r="30" spans="1:5" s="84" customFormat="1" ht="15" x14ac:dyDescent="0.2">
      <c r="A30" s="96">
        <v>45901</v>
      </c>
      <c r="B30" s="98" t="s">
        <v>14</v>
      </c>
      <c r="C30" s="98" t="s">
        <v>6</v>
      </c>
      <c r="D30" s="104">
        <f>VLOOKUP(B30,Punten!$C$3:$AD$224,6,0)</f>
        <v>55.756</v>
      </c>
      <c r="E30" s="104">
        <f>VLOOKUP(C30,Punten!$C$3:$AD$224,6,0)</f>
        <v>73.731999999999999</v>
      </c>
    </row>
    <row r="31" spans="1:5" s="84" customFormat="1" ht="15" x14ac:dyDescent="0.2">
      <c r="A31" s="96">
        <v>45901</v>
      </c>
      <c r="B31" s="98" t="s">
        <v>7</v>
      </c>
      <c r="C31" s="98" t="s">
        <v>15</v>
      </c>
      <c r="D31" s="104">
        <f>VLOOKUP(B31,Punten!$C$3:$AD$224,6,0)</f>
        <v>42.302999999999997</v>
      </c>
      <c r="E31" s="104">
        <f>VLOOKUP(C31,Punten!$C$3:$AD$224,6,0)</f>
        <v>74.713000000000008</v>
      </c>
    </row>
    <row r="32" spans="1:5" s="84" customFormat="1" ht="15" x14ac:dyDescent="0.2">
      <c r="A32" s="96">
        <v>45902</v>
      </c>
      <c r="B32" s="98" t="s">
        <v>16</v>
      </c>
      <c r="C32" s="98" t="s">
        <v>8</v>
      </c>
      <c r="D32" s="104">
        <f>VLOOKUP(B32,Punten!$C$3:$AD$224,6,0)</f>
        <v>55.581000000000003</v>
      </c>
      <c r="E32" s="104">
        <f>VLOOKUP(C32,Punten!$C$3:$AD$224,6,0)</f>
        <v>56.853999999999999</v>
      </c>
    </row>
    <row r="33" spans="1:5" s="84" customFormat="1" ht="15" x14ac:dyDescent="0.2">
      <c r="A33" s="119">
        <v>45903</v>
      </c>
      <c r="B33" s="98" t="s">
        <v>5</v>
      </c>
      <c r="C33" s="98" t="s">
        <v>11</v>
      </c>
      <c r="D33" s="104">
        <f>VLOOKUP(B33,Punten!$C$3:$AD$224,6,0)</f>
        <v>56.558</v>
      </c>
      <c r="E33" s="104">
        <f>VLOOKUP(C33,Punten!$C$3:$AD$224,6,0)</f>
        <v>56.716000000000001</v>
      </c>
    </row>
    <row r="34" spans="1:5" s="84" customFormat="1" ht="15" x14ac:dyDescent="0.2">
      <c r="A34" s="96">
        <v>45904</v>
      </c>
      <c r="B34" s="98" t="s">
        <v>10</v>
      </c>
      <c r="C34" s="98" t="s">
        <v>291</v>
      </c>
      <c r="D34" s="104">
        <f>VLOOKUP(B34,Punten!$C$3:$AD$224,6,0)</f>
        <v>62.265999999999991</v>
      </c>
      <c r="E34" s="104">
        <f>VLOOKUP(C34,Punten!$C$3:$AD$224,6,0)</f>
        <v>67.581999999999994</v>
      </c>
    </row>
    <row r="35" spans="1:5" s="84" customFormat="1" x14ac:dyDescent="0.25">
      <c r="A35" s="231">
        <v>45936</v>
      </c>
      <c r="B35" s="232" t="s">
        <v>13</v>
      </c>
      <c r="C35" s="230" t="s">
        <v>290</v>
      </c>
      <c r="D35" s="104">
        <f>VLOOKUP(B35,Punten!$C$3:$AD$224,6,0)</f>
        <v>52.417000000000002</v>
      </c>
      <c r="E35" s="104">
        <f>VLOOKUP(C35,Punten!$C$3:$AD$224,6,0)</f>
        <v>64.158999999999992</v>
      </c>
    </row>
    <row r="36" spans="1:5" s="84" customFormat="1" ht="15" x14ac:dyDescent="0.2">
      <c r="A36" s="96">
        <v>45905</v>
      </c>
      <c r="B36" s="98" t="s">
        <v>12</v>
      </c>
      <c r="C36" s="98" t="s">
        <v>9</v>
      </c>
      <c r="D36" s="104">
        <f>VLOOKUP(B36,Punten!$C$3:$AD$224,6,0)</f>
        <v>55.134</v>
      </c>
      <c r="E36" s="104">
        <f>VLOOKUP(C36,Punten!$C$3:$AD$224,6,0)</f>
        <v>55.333999999999996</v>
      </c>
    </row>
    <row r="37" spans="1:5" s="84" customFormat="1" ht="15" x14ac:dyDescent="0.2">
      <c r="A37" s="96"/>
      <c r="B37" s="98"/>
      <c r="C37" s="98"/>
      <c r="D37" s="104"/>
      <c r="E37" s="106"/>
    </row>
    <row r="38" spans="1:5" s="84" customFormat="1" ht="15" x14ac:dyDescent="0.2">
      <c r="A38" s="96">
        <v>45915</v>
      </c>
      <c r="B38" s="98" t="s">
        <v>290</v>
      </c>
      <c r="C38" s="98" t="s">
        <v>15</v>
      </c>
      <c r="D38" s="104">
        <f>VLOOKUP(B38,Punten!$C$3:$AD$224,7,0)</f>
        <v>53.189</v>
      </c>
      <c r="E38" s="104">
        <f>VLOOKUP(C38,Punten!$C$3:$AD$224,7,0)</f>
        <v>53.331999999999994</v>
      </c>
    </row>
    <row r="39" spans="1:5" s="84" customFormat="1" ht="15" x14ac:dyDescent="0.2">
      <c r="A39" s="96">
        <v>45915</v>
      </c>
      <c r="B39" s="98" t="s">
        <v>11</v>
      </c>
      <c r="C39" s="98" t="s">
        <v>13</v>
      </c>
      <c r="D39" s="104">
        <f>VLOOKUP(B39,Punten!$C$3:$AD$224,7,0)</f>
        <v>60.369</v>
      </c>
      <c r="E39" s="104">
        <f>VLOOKUP(C39,Punten!$C$3:$AD$224,7,0)</f>
        <v>55.805</v>
      </c>
    </row>
    <row r="40" spans="1:5" s="84" customFormat="1" x14ac:dyDescent="0.25">
      <c r="A40" s="235">
        <v>45946</v>
      </c>
      <c r="B40" s="230" t="s">
        <v>16</v>
      </c>
      <c r="C40" s="230" t="s">
        <v>7</v>
      </c>
      <c r="D40" s="266">
        <f>VLOOKUP(B40,Punten!$C$3:$AD$224,7,0)</f>
        <v>58.264000000000003</v>
      </c>
      <c r="E40" s="266">
        <f>VLOOKUP(C40,Punten!$C$3:$AD$224,7,0)</f>
        <v>53.423999999999999</v>
      </c>
    </row>
    <row r="41" spans="1:5" s="84" customFormat="1" ht="15" x14ac:dyDescent="0.2">
      <c r="A41" s="96">
        <v>45916</v>
      </c>
      <c r="B41" s="98" t="s">
        <v>291</v>
      </c>
      <c r="C41" s="98" t="s">
        <v>14</v>
      </c>
      <c r="D41" s="104">
        <f>VLOOKUP(B41,Punten!$C$3:$AD$224,7,0)</f>
        <v>58.063000000000002</v>
      </c>
      <c r="E41" s="104">
        <f>VLOOKUP(C41,Punten!$C$3:$AD$224,7,0)</f>
        <v>61.228999999999999</v>
      </c>
    </row>
    <row r="42" spans="1:5" s="84" customFormat="1" ht="15" x14ac:dyDescent="0.2">
      <c r="A42" s="96">
        <v>45916</v>
      </c>
      <c r="B42" s="98" t="s">
        <v>8</v>
      </c>
      <c r="C42" s="98" t="s">
        <v>12</v>
      </c>
      <c r="D42" s="104">
        <f>VLOOKUP(B42,Punten!$C$3:$AD$224,7,0)</f>
        <v>73.739000000000004</v>
      </c>
      <c r="E42" s="104">
        <f>VLOOKUP(C42,Punten!$C$3:$AD$224,7,0)</f>
        <v>68.933999999999997</v>
      </c>
    </row>
    <row r="43" spans="1:5" s="84" customFormat="1" x14ac:dyDescent="0.25">
      <c r="A43" s="235">
        <v>45958</v>
      </c>
      <c r="B43" s="230" t="s">
        <v>9</v>
      </c>
      <c r="C43" s="230" t="s">
        <v>10</v>
      </c>
      <c r="D43" s="266">
        <f>VLOOKUP(B43,Punten!$C$3:$AD$224,7,0)</f>
        <v>61.108000000000004</v>
      </c>
      <c r="E43" s="266">
        <f>VLOOKUP(C43,Punten!$C$3:$AD$224,7,0)</f>
        <v>52.704000000000001</v>
      </c>
    </row>
    <row r="44" spans="1:5" s="84" customFormat="1" ht="15" x14ac:dyDescent="0.2">
      <c r="A44" s="96">
        <v>45917</v>
      </c>
      <c r="B44" s="105" t="s">
        <v>6</v>
      </c>
      <c r="C44" s="98" t="s">
        <v>5</v>
      </c>
      <c r="D44" s="104">
        <f>VLOOKUP(B44,Punten!$C$3:$AD$224,7,0)</f>
        <v>44.600999999999999</v>
      </c>
      <c r="E44" s="104">
        <f>VLOOKUP(C44,Punten!$C$3:$AD$224,7,0)</f>
        <v>73.597000000000008</v>
      </c>
    </row>
    <row r="45" spans="1:5" s="84" customFormat="1" ht="15" x14ac:dyDescent="0.2">
      <c r="A45" s="97"/>
      <c r="B45" s="98"/>
      <c r="C45" s="98"/>
      <c r="D45" s="104"/>
      <c r="E45" s="104"/>
    </row>
    <row r="46" spans="1:5" s="84" customFormat="1" ht="15" x14ac:dyDescent="0.2">
      <c r="A46" s="97">
        <v>45929</v>
      </c>
      <c r="B46" s="98" t="s">
        <v>14</v>
      </c>
      <c r="C46" s="98" t="s">
        <v>9</v>
      </c>
      <c r="D46" s="104">
        <f>VLOOKUP(B46,Punten!$C$3:$AD$224,8,0)</f>
        <v>54.995000000000005</v>
      </c>
      <c r="E46" s="104">
        <f>VLOOKUP(C46,Punten!$C$3:$AD$224,8,0)</f>
        <v>57.887</v>
      </c>
    </row>
    <row r="47" spans="1:5" s="84" customFormat="1" ht="15" x14ac:dyDescent="0.2">
      <c r="A47" s="96">
        <v>45929</v>
      </c>
      <c r="B47" s="105" t="s">
        <v>290</v>
      </c>
      <c r="C47" s="98" t="s">
        <v>11</v>
      </c>
      <c r="D47" s="104">
        <f>VLOOKUP(B47,Punten!$C$3:$AD$224,8,0)</f>
        <v>63.293999999999997</v>
      </c>
      <c r="E47" s="104">
        <f>VLOOKUP(C47,Punten!$C$3:$AD$224,8,0)</f>
        <v>52.575000000000003</v>
      </c>
    </row>
    <row r="48" spans="1:5" s="84" customFormat="1" ht="15" x14ac:dyDescent="0.2">
      <c r="A48" s="96">
        <v>45929</v>
      </c>
      <c r="B48" s="98" t="s">
        <v>15</v>
      </c>
      <c r="C48" s="98" t="s">
        <v>16</v>
      </c>
      <c r="D48" s="104">
        <f>VLOOKUP(B48,Punten!$C$3:$AD$224,8,0)</f>
        <v>57.743000000000002</v>
      </c>
      <c r="E48" s="104">
        <f>VLOOKUP(C48,Punten!$C$3:$AD$224,8,0)</f>
        <v>50.75</v>
      </c>
    </row>
    <row r="49" spans="1:5" s="84" customFormat="1" ht="15" x14ac:dyDescent="0.2">
      <c r="A49" s="96">
        <v>45931</v>
      </c>
      <c r="B49" s="98" t="s">
        <v>5</v>
      </c>
      <c r="C49" s="98" t="s">
        <v>291</v>
      </c>
      <c r="D49" s="104">
        <f>VLOOKUP(B49,Punten!$C$3:$AD$224,8,0)</f>
        <v>73.63</v>
      </c>
      <c r="E49" s="104">
        <f>VLOOKUP(C49,Punten!$C$3:$AD$224,8,0)</f>
        <v>59.263000000000005</v>
      </c>
    </row>
    <row r="50" spans="1:5" s="84" customFormat="1" ht="15" x14ac:dyDescent="0.2">
      <c r="A50" s="96">
        <v>45932</v>
      </c>
      <c r="B50" s="98" t="s">
        <v>10</v>
      </c>
      <c r="C50" s="98" t="s">
        <v>8</v>
      </c>
      <c r="D50" s="104">
        <f>VLOOKUP(B50,Punten!$C$3:$AD$224,8,0)</f>
        <v>52.085000000000001</v>
      </c>
      <c r="E50" s="104">
        <f>VLOOKUP(C50,Punten!$C$3:$AD$224,8,0)</f>
        <v>85.558999999999997</v>
      </c>
    </row>
    <row r="51" spans="1:5" s="84" customFormat="1" ht="15" x14ac:dyDescent="0.2">
      <c r="A51" s="97">
        <v>45932</v>
      </c>
      <c r="B51" s="98" t="s">
        <v>13</v>
      </c>
      <c r="C51" s="98" t="s">
        <v>6</v>
      </c>
      <c r="D51" s="104">
        <f>VLOOKUP(B51,Punten!$C$3:$AD$224,8,0)</f>
        <v>73.312999999999988</v>
      </c>
      <c r="E51" s="104">
        <f>VLOOKUP(C51,Punten!$C$3:$AD$224,8,0)</f>
        <v>53.527999999999999</v>
      </c>
    </row>
    <row r="52" spans="1:5" s="84" customFormat="1" ht="15" customHeight="1" x14ac:dyDescent="0.2">
      <c r="A52" s="96">
        <v>45933</v>
      </c>
      <c r="B52" s="105" t="s">
        <v>12</v>
      </c>
      <c r="C52" s="98" t="s">
        <v>7</v>
      </c>
      <c r="D52" s="104">
        <f>VLOOKUP(B52,Punten!$C$3:$AD$224,8,0)</f>
        <v>60.25</v>
      </c>
      <c r="E52" s="104">
        <f>VLOOKUP(C52,Punten!$C$3:$AD$224,8,0)</f>
        <v>49.458999999999996</v>
      </c>
    </row>
    <row r="53" spans="1:5" s="84" customFormat="1" ht="15" customHeight="1" x14ac:dyDescent="0.2">
      <c r="A53" s="96"/>
      <c r="B53" s="98"/>
      <c r="C53" s="98"/>
      <c r="D53" s="104"/>
      <c r="E53" s="107"/>
    </row>
    <row r="54" spans="1:5" s="84" customFormat="1" ht="15" customHeight="1" x14ac:dyDescent="0.2">
      <c r="A54" s="96">
        <v>45943</v>
      </c>
      <c r="B54" s="98" t="s">
        <v>7</v>
      </c>
      <c r="C54" s="98" t="s">
        <v>10</v>
      </c>
      <c r="D54" s="104">
        <f>VLOOKUP(B54,Punten!$C$3:$AD$224,9,0)</f>
        <v>64.655000000000001</v>
      </c>
      <c r="E54" s="104">
        <f>VLOOKUP(C54,Punten!$C$3:$AD$224,9,0)</f>
        <v>52.633000000000003</v>
      </c>
    </row>
    <row r="55" spans="1:5" s="84" customFormat="1" ht="15" customHeight="1" x14ac:dyDescent="0.2">
      <c r="A55" s="172">
        <v>45943</v>
      </c>
      <c r="B55" s="171" t="s">
        <v>14</v>
      </c>
      <c r="C55" s="171" t="s">
        <v>8</v>
      </c>
      <c r="D55" s="104">
        <f>VLOOKUP(B55,Punten!$C$3:$AD$224,9,0)</f>
        <v>72.176999999999992</v>
      </c>
      <c r="E55" s="104">
        <f>VLOOKUP(C55,Punten!$C$3:$AD$224,9,0)</f>
        <v>54.441000000000003</v>
      </c>
    </row>
    <row r="56" spans="1:5" s="84" customFormat="1" ht="15" x14ac:dyDescent="0.2">
      <c r="A56" s="96">
        <v>45944</v>
      </c>
      <c r="B56" s="98" t="s">
        <v>16</v>
      </c>
      <c r="C56" s="98" t="s">
        <v>12</v>
      </c>
      <c r="D56" s="104">
        <f>VLOOKUP(B56,Punten!$C$3:$AD$224,9,0)</f>
        <v>49.109000000000002</v>
      </c>
      <c r="E56" s="104">
        <f>VLOOKUP(C56,Punten!$C$3:$AD$224,9,0)</f>
        <v>72.751000000000005</v>
      </c>
    </row>
    <row r="57" spans="1:5" s="84" customFormat="1" ht="15" x14ac:dyDescent="0.2">
      <c r="A57" s="96">
        <v>45944</v>
      </c>
      <c r="B57" s="98" t="s">
        <v>291</v>
      </c>
      <c r="C57" s="98" t="s">
        <v>13</v>
      </c>
      <c r="D57" s="104">
        <f>VLOOKUP(B57,Punten!$C$3:$AD$224,9,0)</f>
        <v>66.293000000000006</v>
      </c>
      <c r="E57" s="104">
        <f>VLOOKUP(C57,Punten!$C$3:$AD$224,9,0)</f>
        <v>65.954999999999998</v>
      </c>
    </row>
    <row r="58" spans="1:5" s="84" customFormat="1" ht="15" x14ac:dyDescent="0.2">
      <c r="A58" s="119">
        <v>45944</v>
      </c>
      <c r="B58" s="98" t="s">
        <v>9</v>
      </c>
      <c r="C58" s="98" t="s">
        <v>5</v>
      </c>
      <c r="D58" s="104">
        <f>VLOOKUP(B58,Punten!$C$3:$AD$224,9,0)</f>
        <v>56.863</v>
      </c>
      <c r="E58" s="104">
        <f>VLOOKUP(C58,Punten!$C$3:$AD$224,9,0)</f>
        <v>50.501000000000005</v>
      </c>
    </row>
    <row r="59" spans="1:5" x14ac:dyDescent="0.25">
      <c r="A59" s="96">
        <v>45945</v>
      </c>
      <c r="B59" s="105" t="s">
        <v>6</v>
      </c>
      <c r="C59" s="98" t="s">
        <v>290</v>
      </c>
      <c r="D59" s="104">
        <f>VLOOKUP(B59,Punten!$C$3:$AD$224,9,0)</f>
        <v>60.754000000000005</v>
      </c>
      <c r="E59" s="104">
        <f>VLOOKUP(C59,Punten!$C$3:$AD$224,9,0)</f>
        <v>50.867999999999995</v>
      </c>
    </row>
    <row r="60" spans="1:5" x14ac:dyDescent="0.25">
      <c r="A60" s="96">
        <v>45946</v>
      </c>
      <c r="B60" s="98" t="s">
        <v>11</v>
      </c>
      <c r="C60" s="98" t="s">
        <v>15</v>
      </c>
      <c r="D60" s="104">
        <f>VLOOKUP(B60,Punten!$C$3:$AD$224,9,0)</f>
        <v>47.510999999999996</v>
      </c>
      <c r="E60" s="104">
        <f>VLOOKUP(C60,Punten!$C$3:$AD$224,9,0)</f>
        <v>63.052000000000007</v>
      </c>
    </row>
    <row r="61" spans="1:5" ht="10.15" customHeight="1" x14ac:dyDescent="0.25">
      <c r="A61" s="96"/>
      <c r="B61" s="98"/>
      <c r="C61" s="98"/>
      <c r="D61" s="104"/>
      <c r="E61" s="104"/>
    </row>
    <row r="62" spans="1:5" ht="15" customHeight="1" x14ac:dyDescent="0.25">
      <c r="A62" s="96">
        <v>45957</v>
      </c>
      <c r="B62" s="98" t="s">
        <v>14</v>
      </c>
      <c r="C62" s="105" t="s">
        <v>7</v>
      </c>
      <c r="D62" s="104">
        <f>VLOOKUP(B62,Punten!$C$3:$AD$224,10,0)</f>
        <v>61.198999999999998</v>
      </c>
      <c r="E62" s="104">
        <f>VLOOKUP(C62,Punten!$C$3:$AD$224,10,0)</f>
        <v>56.524999999999999</v>
      </c>
    </row>
    <row r="63" spans="1:5" ht="15" customHeight="1" x14ac:dyDescent="0.25">
      <c r="A63" s="96">
        <v>45957</v>
      </c>
      <c r="B63" s="98" t="s">
        <v>290</v>
      </c>
      <c r="C63" s="98" t="s">
        <v>291</v>
      </c>
      <c r="D63" s="104">
        <f>VLOOKUP(B63,Punten!$C$3:$AD$224,10,0)</f>
        <v>53.39</v>
      </c>
      <c r="E63" s="104">
        <f>VLOOKUP(C63,Punten!$C$3:$AD$224,10,0)</f>
        <v>46.456000000000003</v>
      </c>
    </row>
    <row r="64" spans="1:5" ht="15" customHeight="1" x14ac:dyDescent="0.25">
      <c r="A64" s="96">
        <v>45957</v>
      </c>
      <c r="B64" s="98" t="s">
        <v>11</v>
      </c>
      <c r="C64" s="98" t="s">
        <v>6</v>
      </c>
      <c r="D64" s="104">
        <f>VLOOKUP(B64,Punten!$C$3:$AD$224,10,0)</f>
        <v>60.869000000000007</v>
      </c>
      <c r="E64" s="104">
        <f>VLOOKUP(C64,Punten!$C$3:$AD$224,10,0)</f>
        <v>60.735999999999997</v>
      </c>
    </row>
    <row r="65" spans="1:6" ht="15" customHeight="1" x14ac:dyDescent="0.25">
      <c r="A65" s="119">
        <v>45957</v>
      </c>
      <c r="B65" s="98" t="s">
        <v>15</v>
      </c>
      <c r="C65" s="98" t="s">
        <v>12</v>
      </c>
      <c r="D65" s="104">
        <f>VLOOKUP(B65,Punten!$C$3:$AD$224,10,0)</f>
        <v>62.817999999999998</v>
      </c>
      <c r="E65" s="104">
        <f>VLOOKUP(C65,Punten!$C$3:$AD$224,10,0)</f>
        <v>70.790000000000006</v>
      </c>
    </row>
    <row r="66" spans="1:6" ht="15" customHeight="1" x14ac:dyDescent="0.25">
      <c r="A66" s="172">
        <v>45958</v>
      </c>
      <c r="B66" s="171" t="s">
        <v>8</v>
      </c>
      <c r="C66" s="171" t="s">
        <v>5</v>
      </c>
      <c r="D66" s="104">
        <f>VLOOKUP(B66,Punten!$C$3:$AD$224,10,0)</f>
        <v>57.887</v>
      </c>
      <c r="E66" s="104">
        <f>VLOOKUP(C66,Punten!$C$3:$AD$224,10,0)</f>
        <v>56.466000000000001</v>
      </c>
    </row>
    <row r="67" spans="1:6" ht="15" customHeight="1" x14ac:dyDescent="0.25">
      <c r="A67" s="96">
        <v>45960</v>
      </c>
      <c r="B67" s="98" t="s">
        <v>13</v>
      </c>
      <c r="C67" s="98" t="s">
        <v>9</v>
      </c>
      <c r="D67" s="104">
        <f>VLOOKUP(B67,Punten!$C$3:$AD$224,10,0)</f>
        <v>68.323999999999998</v>
      </c>
      <c r="E67" s="104">
        <f>VLOOKUP(C67,Punten!$C$3:$AD$224,10,0)</f>
        <v>50.805999999999997</v>
      </c>
    </row>
    <row r="68" spans="1:6" ht="15" customHeight="1" x14ac:dyDescent="0.25">
      <c r="A68" s="96">
        <v>45960</v>
      </c>
      <c r="B68" s="98" t="s">
        <v>10</v>
      </c>
      <c r="C68" s="98" t="s">
        <v>16</v>
      </c>
      <c r="D68" s="104">
        <f>VLOOKUP(B68,Punten!$C$3:$AD$224,10,0)</f>
        <v>63.644000000000005</v>
      </c>
      <c r="E68" s="104">
        <f>VLOOKUP(C68,Punten!$C$3:$AD$224,10,0)</f>
        <v>43.688000000000002</v>
      </c>
    </row>
    <row r="69" spans="1:6" ht="10.15" customHeight="1" x14ac:dyDescent="0.25">
      <c r="A69" s="96"/>
      <c r="B69" s="98"/>
      <c r="C69" s="98"/>
      <c r="D69" s="104"/>
      <c r="E69" s="104"/>
    </row>
    <row r="70" spans="1:6" ht="15" customHeight="1" x14ac:dyDescent="0.25">
      <c r="A70" s="96">
        <v>45971</v>
      </c>
      <c r="B70" s="98" t="s">
        <v>7</v>
      </c>
      <c r="C70" s="98" t="s">
        <v>5</v>
      </c>
      <c r="D70" s="104">
        <f>VLOOKUP(B70,Punten!$C$3:$AD$224,11,0)</f>
        <v>58.667000000000002</v>
      </c>
      <c r="E70" s="104">
        <f>VLOOKUP(C70,Punten!$C$3:$AD$224,11,0)</f>
        <v>60.411999999999999</v>
      </c>
    </row>
    <row r="71" spans="1:6" ht="15" customHeight="1" x14ac:dyDescent="0.25">
      <c r="A71" s="117">
        <v>45971</v>
      </c>
      <c r="B71" s="121" t="s">
        <v>16</v>
      </c>
      <c r="C71" s="121" t="s">
        <v>14</v>
      </c>
      <c r="D71" s="104">
        <f>VLOOKUP(B71,Punten!$C$3:$AD$224,11,0)</f>
        <v>76.480999999999995</v>
      </c>
      <c r="E71" s="104">
        <f>VLOOKUP(C71,Punten!$C$3:$AD$224,11,0)</f>
        <v>71.329000000000008</v>
      </c>
    </row>
    <row r="72" spans="1:6" ht="15" customHeight="1" x14ac:dyDescent="0.25">
      <c r="A72" s="96">
        <v>45973</v>
      </c>
      <c r="B72" s="98" t="s">
        <v>6</v>
      </c>
      <c r="C72" s="98" t="s">
        <v>15</v>
      </c>
      <c r="D72" s="104">
        <f>VLOOKUP(B72,Punten!$C$3:$AD$224,11,0)</f>
        <v>67.745999999999995</v>
      </c>
      <c r="E72" s="104">
        <f>VLOOKUP(C72,Punten!$C$3:$AD$224,11,0)</f>
        <v>57.384</v>
      </c>
    </row>
    <row r="73" spans="1:6" ht="15" customHeight="1" x14ac:dyDescent="0.25">
      <c r="A73" s="117">
        <v>45974</v>
      </c>
      <c r="B73" s="121" t="s">
        <v>291</v>
      </c>
      <c r="C73" s="121" t="s">
        <v>11</v>
      </c>
      <c r="D73" s="104">
        <f>VLOOKUP(B73,Punten!$C$3:$AD$224,11,0)</f>
        <v>54.584000000000003</v>
      </c>
      <c r="E73" s="104">
        <f>VLOOKUP(C73,Punten!$C$3:$AD$224,11,0)</f>
        <v>65.575000000000003</v>
      </c>
    </row>
    <row r="74" spans="1:6" ht="15" customHeight="1" x14ac:dyDescent="0.25">
      <c r="A74" s="172">
        <v>45974</v>
      </c>
      <c r="B74" s="171" t="s">
        <v>13</v>
      </c>
      <c r="C74" s="171" t="s">
        <v>8</v>
      </c>
      <c r="D74" s="266">
        <f>VLOOKUP(B74,Punten!$C$3:$AD$224,11,0)</f>
        <v>67.024999999999991</v>
      </c>
      <c r="E74" s="266">
        <f>VLOOKUP(C74,Punten!$C$3:$AD$224,11,0)</f>
        <v>73.556000000000012</v>
      </c>
    </row>
    <row r="75" spans="1:6" ht="15" customHeight="1" x14ac:dyDescent="0.25">
      <c r="A75" s="118">
        <v>45974</v>
      </c>
      <c r="B75" s="121" t="s">
        <v>9</v>
      </c>
      <c r="C75" s="121" t="s">
        <v>290</v>
      </c>
      <c r="D75" s="104">
        <f>VLOOKUP(B75,Punten!$C$3:$AD$224,11,0)</f>
        <v>71.91</v>
      </c>
      <c r="E75" s="104">
        <f>VLOOKUP(C75,Punten!$C$3:$AD$224,11,0)</f>
        <v>65.765000000000001</v>
      </c>
    </row>
    <row r="76" spans="1:6" ht="15" customHeight="1" x14ac:dyDescent="0.25">
      <c r="A76" s="96">
        <v>45975</v>
      </c>
      <c r="B76" s="98" t="s">
        <v>12</v>
      </c>
      <c r="C76" s="98" t="s">
        <v>10</v>
      </c>
      <c r="D76" s="104">
        <f>VLOOKUP(B76,Punten!$C$3:$AD$224,11,0)</f>
        <v>49.686999999999998</v>
      </c>
      <c r="E76" s="104">
        <f>VLOOKUP(C76,Punten!$C$3:$AD$224,11,0)</f>
        <v>53.924000000000007</v>
      </c>
    </row>
    <row r="77" spans="1:6" ht="10.15" customHeight="1" x14ac:dyDescent="0.25">
      <c r="A77" s="96"/>
      <c r="B77" s="98"/>
      <c r="C77" s="98"/>
      <c r="D77" s="104"/>
      <c r="E77" s="104"/>
    </row>
    <row r="78" spans="1:6" ht="15" customHeight="1" x14ac:dyDescent="0.25">
      <c r="A78" s="96">
        <v>45985</v>
      </c>
      <c r="B78" s="98" t="s">
        <v>290</v>
      </c>
      <c r="C78" s="98" t="s">
        <v>8</v>
      </c>
      <c r="D78" s="104">
        <f>VLOOKUP(B78,Punten!$C$3:$AD$224,12,0)</f>
        <v>63.083999999999996</v>
      </c>
      <c r="E78" s="104">
        <f>VLOOKUP(C78,Punten!$C$3:$AD$224,12,0)</f>
        <v>48.582999999999998</v>
      </c>
    </row>
    <row r="79" spans="1:6" ht="15" customHeight="1" x14ac:dyDescent="0.25">
      <c r="A79" s="96">
        <v>45985</v>
      </c>
      <c r="B79" s="98" t="s">
        <v>14</v>
      </c>
      <c r="C79" s="98" t="s">
        <v>12</v>
      </c>
      <c r="D79" s="104">
        <f>VLOOKUP(B79,Punten!$C$3:$AD$224,12,0)</f>
        <v>59.75</v>
      </c>
      <c r="E79" s="104">
        <f>VLOOKUP(C79,Punten!$C$3:$AD$224,12,0)</f>
        <v>66.570999999999998</v>
      </c>
    </row>
    <row r="80" spans="1:6" ht="15" customHeight="1" x14ac:dyDescent="0.25">
      <c r="A80" s="97">
        <v>45985</v>
      </c>
      <c r="B80" s="98" t="s">
        <v>15</v>
      </c>
      <c r="C80" s="98" t="s">
        <v>10</v>
      </c>
      <c r="D80" s="104">
        <f>VLOOKUP(B80,Punten!$C$3:$AD$224,12,0)</f>
        <v>71.882000000000005</v>
      </c>
      <c r="E80" s="104">
        <f>VLOOKUP(C80,Punten!$C$3:$AD$224,12,0)</f>
        <v>53.023000000000003</v>
      </c>
      <c r="F80" s="104"/>
    </row>
    <row r="81" spans="1:5" ht="15" customHeight="1" x14ac:dyDescent="0.25">
      <c r="A81" s="96">
        <v>45985</v>
      </c>
      <c r="B81" s="105" t="s">
        <v>11</v>
      </c>
      <c r="C81" s="98" t="s">
        <v>9</v>
      </c>
      <c r="D81" s="104">
        <f>VLOOKUP(B81,Punten!$C$3:$AD$224,12,0)</f>
        <v>52.470999999999997</v>
      </c>
      <c r="E81" s="104">
        <f>VLOOKUP(C81,Punten!$C$3:$AD$224,12,0)</f>
        <v>50.755000000000003</v>
      </c>
    </row>
    <row r="82" spans="1:5" ht="15" customHeight="1" x14ac:dyDescent="0.25">
      <c r="A82" s="96">
        <v>45987</v>
      </c>
      <c r="B82" s="98" t="s">
        <v>6</v>
      </c>
      <c r="C82" s="98" t="s">
        <v>291</v>
      </c>
      <c r="D82" s="104">
        <f>VLOOKUP(B82,Punten!$C$3:$AD$224,12,0)</f>
        <v>53.038000000000004</v>
      </c>
      <c r="E82" s="104">
        <f>VLOOKUP(C82,Punten!$C$3:$AD$224,12,0)</f>
        <v>54.859000000000009</v>
      </c>
    </row>
    <row r="83" spans="1:5" ht="15" customHeight="1" x14ac:dyDescent="0.25">
      <c r="A83" s="119">
        <v>45987</v>
      </c>
      <c r="B83" s="98" t="s">
        <v>5</v>
      </c>
      <c r="C83" s="98" t="s">
        <v>16</v>
      </c>
      <c r="D83" s="104">
        <f>VLOOKUP(B83,Punten!$C$3:$AD$224,12,0)</f>
        <v>62.913999999999994</v>
      </c>
      <c r="E83" s="104">
        <f>VLOOKUP(C83,Punten!$C$3:$AD$224,12,0)</f>
        <v>46.372999999999998</v>
      </c>
    </row>
    <row r="84" spans="1:5" ht="15" customHeight="1" x14ac:dyDescent="0.25">
      <c r="A84" s="97">
        <v>45988</v>
      </c>
      <c r="B84" s="98" t="s">
        <v>13</v>
      </c>
      <c r="C84" s="105" t="s">
        <v>7</v>
      </c>
      <c r="D84" s="104">
        <f>VLOOKUP(B84,Punten!$C$3:$AD$224,12,0)</f>
        <v>52.161999999999999</v>
      </c>
      <c r="E84" s="104">
        <f>VLOOKUP(C84,Punten!$C$3:$AD$224,12,0)</f>
        <v>41.629000000000005</v>
      </c>
    </row>
    <row r="85" spans="1:5" ht="10.15" customHeight="1" x14ac:dyDescent="0.25">
      <c r="A85" s="96"/>
      <c r="B85" s="98"/>
      <c r="C85" s="98"/>
      <c r="D85" s="104"/>
      <c r="E85" s="104"/>
    </row>
    <row r="86" spans="1:5" ht="15" customHeight="1" x14ac:dyDescent="0.25">
      <c r="A86" s="96">
        <v>45992</v>
      </c>
      <c r="B86" s="98" t="s">
        <v>7</v>
      </c>
      <c r="C86" s="105" t="s">
        <v>290</v>
      </c>
      <c r="D86" s="104">
        <f>VLOOKUP(B86,Punten!$C$3:$AD$224,13,0)</f>
        <v>47.802</v>
      </c>
      <c r="E86" s="104">
        <f>VLOOKUP(C86,Punten!$C$3:$AD$224,13,0)</f>
        <v>57.427000000000007</v>
      </c>
    </row>
    <row r="87" spans="1:5" ht="15" customHeight="1" x14ac:dyDescent="0.25">
      <c r="A87" s="170">
        <v>45992</v>
      </c>
      <c r="B87" s="171" t="s">
        <v>14</v>
      </c>
      <c r="C87" s="171" t="s">
        <v>10</v>
      </c>
      <c r="D87" s="104">
        <f>VLOOKUP(B87,Punten!$C$3:$AD$224,13,0)</f>
        <v>60.125</v>
      </c>
      <c r="E87" s="104">
        <f>VLOOKUP(C87,Punten!$C$3:$AD$224,13,0)</f>
        <v>67.561000000000007</v>
      </c>
    </row>
    <row r="88" spans="1:5" ht="15" customHeight="1" x14ac:dyDescent="0.25">
      <c r="A88" s="96">
        <v>45993</v>
      </c>
      <c r="B88" s="98" t="s">
        <v>8</v>
      </c>
      <c r="C88" s="98" t="s">
        <v>11</v>
      </c>
      <c r="D88" s="104">
        <f>VLOOKUP(B88,Punten!$C$3:$AD$224,13,0)</f>
        <v>69.228999999999999</v>
      </c>
      <c r="E88" s="104">
        <f>VLOOKUP(C88,Punten!$C$3:$AD$224,13,0)</f>
        <v>66.668999999999997</v>
      </c>
    </row>
    <row r="89" spans="1:5" ht="15" customHeight="1" x14ac:dyDescent="0.25">
      <c r="A89" s="96">
        <v>45993</v>
      </c>
      <c r="B89" s="98" t="s">
        <v>9</v>
      </c>
      <c r="C89" s="98" t="s">
        <v>6</v>
      </c>
      <c r="D89" s="104">
        <f>VLOOKUP(B89,Punten!$C$3:$AD$224,13,0)</f>
        <v>71.817000000000007</v>
      </c>
      <c r="E89" s="104">
        <f>VLOOKUP(C89,Punten!$C$3:$AD$224,13,0)</f>
        <v>52.012999999999998</v>
      </c>
    </row>
    <row r="90" spans="1:5" ht="15" customHeight="1" x14ac:dyDescent="0.25">
      <c r="A90" s="96">
        <v>45993</v>
      </c>
      <c r="B90" s="98" t="s">
        <v>16</v>
      </c>
      <c r="C90" s="98" t="s">
        <v>13</v>
      </c>
      <c r="D90" s="104">
        <f>VLOOKUP(B90,Punten!$C$3:$AD$224,13,0)</f>
        <v>61.230999999999995</v>
      </c>
      <c r="E90" s="104">
        <f>VLOOKUP(C90,Punten!$C$3:$AD$224,13,0)</f>
        <v>68.407000000000011</v>
      </c>
    </row>
    <row r="91" spans="1:5" ht="15" customHeight="1" x14ac:dyDescent="0.25">
      <c r="A91" s="96">
        <v>45993</v>
      </c>
      <c r="B91" s="98" t="s">
        <v>291</v>
      </c>
      <c r="C91" s="98" t="s">
        <v>15</v>
      </c>
      <c r="D91" s="104">
        <f>VLOOKUP(B91,Punten!$C$3:$AD$224,13,0)</f>
        <v>65.5</v>
      </c>
      <c r="E91" s="104">
        <f>VLOOKUP(C91,Punten!$C$3:$AD$224,13,0)</f>
        <v>61.686</v>
      </c>
    </row>
    <row r="92" spans="1:5" ht="15" customHeight="1" x14ac:dyDescent="0.25">
      <c r="A92" s="97">
        <v>45996</v>
      </c>
      <c r="B92" s="98" t="s">
        <v>12</v>
      </c>
      <c r="C92" s="98" t="s">
        <v>5</v>
      </c>
      <c r="D92" s="104">
        <f>VLOOKUP(B92,Punten!$C$3:$AD$224,13,0)</f>
        <v>42.208999999999996</v>
      </c>
      <c r="E92" s="104">
        <f>VLOOKUP(C92,Punten!$C$3:$AD$224,13,0)</f>
        <v>67.533000000000001</v>
      </c>
    </row>
    <row r="93" spans="1:5" ht="10.15" customHeight="1" x14ac:dyDescent="0.25">
      <c r="A93" s="96"/>
      <c r="B93" s="98"/>
      <c r="C93" s="98"/>
      <c r="D93" s="104"/>
      <c r="E93" s="104"/>
    </row>
    <row r="94" spans="1:5" ht="15" customHeight="1" x14ac:dyDescent="0.25">
      <c r="A94" s="96">
        <v>45999</v>
      </c>
      <c r="B94" s="105" t="s">
        <v>15</v>
      </c>
      <c r="C94" s="98" t="s">
        <v>14</v>
      </c>
      <c r="D94" s="104">
        <f>VLOOKUP(B94,Punten!$C$3:$AD$224,14,0)</f>
        <v>61.689</v>
      </c>
      <c r="E94" s="104">
        <f>VLOOKUP(C94,Punten!$C$3:$AD$224,14,0)</f>
        <v>65.843999999999994</v>
      </c>
    </row>
    <row r="95" spans="1:5" ht="15" customHeight="1" x14ac:dyDescent="0.25">
      <c r="A95" s="96">
        <v>45999</v>
      </c>
      <c r="B95" s="98" t="s">
        <v>11</v>
      </c>
      <c r="C95" s="98" t="s">
        <v>7</v>
      </c>
      <c r="D95" s="104">
        <f>VLOOKUP(B95,Punten!$C$3:$AD$224,14,0)</f>
        <v>59.680999999999997</v>
      </c>
      <c r="E95" s="104">
        <f>VLOOKUP(C95,Punten!$C$3:$AD$224,14,0)</f>
        <v>53.382999999999996</v>
      </c>
    </row>
    <row r="96" spans="1:5" ht="15" customHeight="1" x14ac:dyDescent="0.25">
      <c r="A96" s="96">
        <v>45999</v>
      </c>
      <c r="B96" s="98" t="s">
        <v>290</v>
      </c>
      <c r="C96" s="98" t="s">
        <v>16</v>
      </c>
      <c r="D96" s="104">
        <f>VLOOKUP(B96,Punten!$C$3:$AD$224,14,0)</f>
        <v>46.090999999999994</v>
      </c>
      <c r="E96" s="104">
        <f>VLOOKUP(C96,Punten!$C$3:$AD$224,14,0)</f>
        <v>43.292000000000002</v>
      </c>
    </row>
    <row r="97" spans="1:7" ht="15" customHeight="1" x14ac:dyDescent="0.25">
      <c r="A97" s="97">
        <v>46000</v>
      </c>
      <c r="B97" s="98" t="s">
        <v>291</v>
      </c>
      <c r="C97" s="98" t="s">
        <v>9</v>
      </c>
      <c r="D97" s="104">
        <f>VLOOKUP(B97,Punten!$C$3:$AD$224,14,0)</f>
        <v>74.555999999999997</v>
      </c>
      <c r="E97" s="104">
        <f>VLOOKUP(C97,Punten!$C$3:$AD$224,14,0)</f>
        <v>60.03</v>
      </c>
      <c r="F97" s="104"/>
    </row>
    <row r="98" spans="1:7" ht="15" customHeight="1" x14ac:dyDescent="0.25">
      <c r="A98" s="96">
        <v>46001</v>
      </c>
      <c r="B98" s="98" t="s">
        <v>6</v>
      </c>
      <c r="C98" s="98" t="s">
        <v>8</v>
      </c>
      <c r="D98" s="104">
        <f>VLOOKUP(B98,Punten!$C$3:$AD$224,14,0)</f>
        <v>54.676000000000002</v>
      </c>
      <c r="E98" s="104">
        <f>VLOOKUP(C98,Punten!$C$3:$AD$224,14,0)</f>
        <v>75.402000000000001</v>
      </c>
    </row>
    <row r="99" spans="1:7" ht="15" customHeight="1" x14ac:dyDescent="0.25">
      <c r="A99" s="127">
        <v>46001</v>
      </c>
      <c r="B99" s="158" t="s">
        <v>5</v>
      </c>
      <c r="C99" s="158" t="s">
        <v>10</v>
      </c>
      <c r="D99" s="104">
        <f>VLOOKUP(B99,Punten!$C$3:$AD$224,14,0)</f>
        <v>53.646999999999998</v>
      </c>
      <c r="E99" s="104">
        <f>VLOOKUP(C99,Punten!$C$3:$AD$224,14,0)</f>
        <v>53.763999999999996</v>
      </c>
    </row>
    <row r="100" spans="1:7" ht="15" customHeight="1" x14ac:dyDescent="0.25">
      <c r="A100" s="97">
        <v>46002</v>
      </c>
      <c r="B100" s="98" t="s">
        <v>13</v>
      </c>
      <c r="C100" s="98" t="s">
        <v>12</v>
      </c>
      <c r="D100" s="104">
        <f>VLOOKUP(B100,Punten!$C$3:$AD$224,14,0)</f>
        <v>56.548999999999999</v>
      </c>
      <c r="E100" s="104">
        <f>VLOOKUP(C100,Punten!$C$3:$AD$224,14,0)</f>
        <v>56.846999999999994</v>
      </c>
    </row>
    <row r="101" spans="1:7" ht="10.15" customHeight="1" x14ac:dyDescent="0.25">
      <c r="A101" s="96"/>
      <c r="B101" s="98"/>
      <c r="C101" s="98"/>
      <c r="D101" s="104"/>
      <c r="E101" s="104"/>
    </row>
    <row r="102" spans="1:7" ht="15" customHeight="1" x14ac:dyDescent="0.25">
      <c r="A102" s="96">
        <v>46006</v>
      </c>
      <c r="B102" s="98" t="s">
        <v>7</v>
      </c>
      <c r="C102" s="98" t="s">
        <v>6</v>
      </c>
      <c r="D102" s="104">
        <f>VLOOKUP(B102,Punten!$C$3:$AD$224,15,0)</f>
        <v>53.099000000000004</v>
      </c>
      <c r="E102" s="104">
        <f>VLOOKUP(C102,Punten!$C$3:$AD$224,15,0)</f>
        <v>57.088000000000001</v>
      </c>
    </row>
    <row r="103" spans="1:7" ht="15" customHeight="1" x14ac:dyDescent="0.25">
      <c r="A103" s="96">
        <v>46006</v>
      </c>
      <c r="B103" s="98" t="s">
        <v>14</v>
      </c>
      <c r="C103" s="98" t="s">
        <v>5</v>
      </c>
      <c r="D103" s="104">
        <f>VLOOKUP(B103,Punten!$C$3:$AD$224,15,0)</f>
        <v>54.387</v>
      </c>
      <c r="E103" s="104">
        <f>VLOOKUP(C103,Punten!$C$3:$AD$224,15,0)</f>
        <v>73.274000000000001</v>
      </c>
    </row>
    <row r="104" spans="1:7" ht="15" customHeight="1" x14ac:dyDescent="0.25">
      <c r="A104" s="170">
        <v>46006</v>
      </c>
      <c r="B104" s="171" t="s">
        <v>290</v>
      </c>
      <c r="C104" s="171" t="s">
        <v>12</v>
      </c>
      <c r="D104" s="104">
        <f>VLOOKUP(B104,Punten!$C$3:$AD$224,15,0)</f>
        <v>56.138999999999996</v>
      </c>
      <c r="E104" s="104">
        <f>VLOOKUP(C104,Punten!$C$3:$AD$224,15,0)</f>
        <v>55.677</v>
      </c>
    </row>
    <row r="105" spans="1:7" ht="15" customHeight="1" x14ac:dyDescent="0.25">
      <c r="A105" s="96">
        <v>46007</v>
      </c>
      <c r="B105" s="98" t="s">
        <v>16</v>
      </c>
      <c r="C105" s="98" t="s">
        <v>11</v>
      </c>
      <c r="D105" s="104">
        <f>VLOOKUP(B105,Punten!$C$3:$AD$224,15,0)</f>
        <v>51.216000000000001</v>
      </c>
      <c r="E105" s="104">
        <f>VLOOKUP(C105,Punten!$C$3:$AD$224,15,0)</f>
        <v>81.981999999999999</v>
      </c>
    </row>
    <row r="106" spans="1:7" ht="15" customHeight="1" x14ac:dyDescent="0.25">
      <c r="A106" s="96">
        <v>46007</v>
      </c>
      <c r="B106" s="98" t="s">
        <v>8</v>
      </c>
      <c r="C106" s="98" t="s">
        <v>291</v>
      </c>
      <c r="D106" s="104">
        <f>VLOOKUP(B106,Punten!$C$3:$AD$224,15,0)</f>
        <v>82.206000000000003</v>
      </c>
      <c r="E106" s="104">
        <f>VLOOKUP(C106,Punten!$C$3:$AD$224,15,0)</f>
        <v>64.019000000000005</v>
      </c>
    </row>
    <row r="107" spans="1:7" ht="15" customHeight="1" x14ac:dyDescent="0.25">
      <c r="A107" s="96">
        <v>46007</v>
      </c>
      <c r="B107" s="98" t="s">
        <v>9</v>
      </c>
      <c r="C107" s="105" t="s">
        <v>15</v>
      </c>
      <c r="D107" s="104">
        <f>VLOOKUP(B107,Punten!$C$3:$AD$224,15,0)</f>
        <v>45.399000000000001</v>
      </c>
      <c r="E107" s="104">
        <f>VLOOKUP(C107,Punten!$C$3:$AD$224,15,0)</f>
        <v>64.419000000000011</v>
      </c>
    </row>
    <row r="108" spans="1:7" ht="15" customHeight="1" x14ac:dyDescent="0.25">
      <c r="A108" s="119">
        <v>46009</v>
      </c>
      <c r="B108" s="98" t="s">
        <v>10</v>
      </c>
      <c r="C108" s="98" t="s">
        <v>13</v>
      </c>
      <c r="D108" s="104">
        <f>VLOOKUP(B108,Punten!$C$3:$AD$224,15,0)</f>
        <v>57.758000000000003</v>
      </c>
      <c r="E108" s="104">
        <f>VLOOKUP(C108,Punten!$C$3:$AD$224,15,0)</f>
        <v>65.793000000000006</v>
      </c>
    </row>
    <row r="109" spans="1:7" s="61" customFormat="1" ht="15.6" customHeight="1" x14ac:dyDescent="0.25">
      <c r="A109" s="293"/>
      <c r="B109" s="287"/>
      <c r="C109" s="169"/>
      <c r="E109" s="62"/>
      <c r="F109" s="62"/>
      <c r="G109" s="62"/>
    </row>
    <row r="110" spans="1:7" ht="22.15" customHeight="1" x14ac:dyDescent="0.25">
      <c r="A110" s="297" t="s">
        <v>286</v>
      </c>
      <c r="B110" s="297"/>
      <c r="C110" s="297"/>
      <c r="D110" s="297"/>
      <c r="E110" s="108"/>
    </row>
    <row r="111" spans="1:7" ht="15" customHeight="1" x14ac:dyDescent="0.25">
      <c r="A111" s="296" t="s">
        <v>287</v>
      </c>
      <c r="B111" s="296"/>
      <c r="C111" s="296"/>
      <c r="D111" s="296"/>
      <c r="E111" s="109" t="s">
        <v>288</v>
      </c>
    </row>
    <row r="112" spans="1:7" ht="25.15" customHeight="1" x14ac:dyDescent="0.25">
      <c r="B112" s="87" t="s">
        <v>40</v>
      </c>
      <c r="C112" s="88"/>
      <c r="D112" s="104"/>
      <c r="E112" s="84"/>
    </row>
    <row r="113" spans="1:10" ht="15" customHeight="1" x14ac:dyDescent="0.25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10" ht="13.9" customHeight="1" x14ac:dyDescent="0.25">
      <c r="A114" s="96"/>
      <c r="B114" s="110"/>
      <c r="C114" s="110"/>
      <c r="D114" s="108"/>
      <c r="E114" s="108"/>
    </row>
    <row r="115" spans="1:10" ht="15" customHeight="1" x14ac:dyDescent="0.25">
      <c r="A115" s="97">
        <v>46027</v>
      </c>
      <c r="B115" s="98" t="s">
        <v>7</v>
      </c>
      <c r="C115" s="98" t="s">
        <v>13</v>
      </c>
      <c r="D115" s="104">
        <f>VLOOKUP(B115,Punten!$C$3:$AD$224,16,0)</f>
        <v>64.424000000000007</v>
      </c>
      <c r="E115" s="104">
        <f>VLOOKUP(C115,Punten!$C$3:$AD$224,16,0)</f>
        <v>60.944000000000003</v>
      </c>
    </row>
    <row r="116" spans="1:10" ht="15" customHeight="1" x14ac:dyDescent="0.25">
      <c r="A116" s="97">
        <v>46028</v>
      </c>
      <c r="B116" s="98" t="s">
        <v>8</v>
      </c>
      <c r="C116" s="98" t="s">
        <v>290</v>
      </c>
      <c r="D116" s="104">
        <f>VLOOKUP(B116,Punten!$C$3:$AD$224,16,0)</f>
        <v>50.507000000000005</v>
      </c>
      <c r="E116" s="104">
        <f>VLOOKUP(C116,Punten!$C$3:$AD$224,16,0)</f>
        <v>63.698999999999998</v>
      </c>
    </row>
    <row r="117" spans="1:10" ht="15" customHeight="1" x14ac:dyDescent="0.25">
      <c r="A117" s="97">
        <v>46028</v>
      </c>
      <c r="B117" s="98" t="s">
        <v>9</v>
      </c>
      <c r="C117" s="98" t="s">
        <v>11</v>
      </c>
      <c r="D117" s="104">
        <f>VLOOKUP(B117,Punten!$C$3:$AD$224,16,0)</f>
        <v>53.446999999999996</v>
      </c>
      <c r="E117" s="104">
        <f>VLOOKUP(C117,Punten!$C$3:$AD$224,16,0)</f>
        <v>68.793999999999997</v>
      </c>
    </row>
    <row r="118" spans="1:10" ht="15" customHeight="1" x14ac:dyDescent="0.25">
      <c r="A118" s="97">
        <v>46028</v>
      </c>
      <c r="B118" s="98" t="s">
        <v>291</v>
      </c>
      <c r="C118" s="98" t="s">
        <v>6</v>
      </c>
      <c r="D118" s="104">
        <f>VLOOKUP(B118,Punten!$C$3:$AD$224,16,0)</f>
        <v>57.353000000000002</v>
      </c>
      <c r="E118" s="104">
        <f>VLOOKUP(C118,Punten!$C$3:$AD$224,16,0)</f>
        <v>59.261999999999993</v>
      </c>
    </row>
    <row r="119" spans="1:10" ht="15" customHeight="1" x14ac:dyDescent="0.25">
      <c r="A119" s="97">
        <v>46028</v>
      </c>
      <c r="B119" s="105" t="s">
        <v>16</v>
      </c>
      <c r="C119" s="98" t="s">
        <v>5</v>
      </c>
      <c r="D119" s="104">
        <f>VLOOKUP(B119,Punten!$C$3:$AD$224,16,0)</f>
        <v>67.884999999999991</v>
      </c>
      <c r="E119" s="104">
        <f>VLOOKUP(C119,Punten!$C$3:$AD$224,16,0)</f>
        <v>63.105000000000004</v>
      </c>
    </row>
    <row r="120" spans="1:10" ht="15" customHeight="1" x14ac:dyDescent="0.25">
      <c r="A120" s="97">
        <v>46030</v>
      </c>
      <c r="B120" s="98" t="s">
        <v>10</v>
      </c>
      <c r="C120" s="98" t="s">
        <v>15</v>
      </c>
      <c r="D120" s="104">
        <f>VLOOKUP(B120,Punten!$C$3:$AD$224,16,0)</f>
        <v>62.791000000000004</v>
      </c>
      <c r="E120" s="104">
        <f>VLOOKUP(C120,Punten!$C$3:$AD$224,16,0)</f>
        <v>68.548000000000002</v>
      </c>
    </row>
    <row r="121" spans="1:10" ht="15" customHeight="1" x14ac:dyDescent="0.25">
      <c r="A121" s="97">
        <v>46031</v>
      </c>
      <c r="B121" s="98" t="s">
        <v>12</v>
      </c>
      <c r="C121" s="98" t="s">
        <v>14</v>
      </c>
      <c r="D121" s="104">
        <f>VLOOKUP(B121,Punten!$C$3:$AD$224,16,0)</f>
        <v>49.783000000000001</v>
      </c>
      <c r="E121" s="104">
        <f>VLOOKUP(C121,Punten!$C$3:$AD$224,16,0)</f>
        <v>47.05</v>
      </c>
    </row>
    <row r="122" spans="1:10" ht="13.9" customHeight="1" x14ac:dyDescent="0.25">
      <c r="A122" s="97"/>
      <c r="B122" s="98"/>
      <c r="C122" s="98"/>
      <c r="D122" s="104"/>
      <c r="E122" s="104"/>
    </row>
    <row r="123" spans="1:10" ht="15" customHeight="1" x14ac:dyDescent="0.25">
      <c r="A123" s="97">
        <v>46034</v>
      </c>
      <c r="B123" s="98" t="s">
        <v>290</v>
      </c>
      <c r="C123" s="98" t="s">
        <v>7</v>
      </c>
      <c r="D123" s="104">
        <f>VLOOKUP(B123,Punten!$C$3:$AD$224,17,0)</f>
        <v>56.518000000000001</v>
      </c>
      <c r="E123" s="104">
        <f>VLOOKUP(C123,Punten!$C$3:$AD$224,17,0)</f>
        <v>46.463000000000001</v>
      </c>
      <c r="J123" t="s">
        <v>127</v>
      </c>
    </row>
    <row r="124" spans="1:10" ht="15" customHeight="1" x14ac:dyDescent="0.25">
      <c r="A124" s="97">
        <v>46034</v>
      </c>
      <c r="B124" s="98" t="s">
        <v>11</v>
      </c>
      <c r="C124" s="98" t="s">
        <v>8</v>
      </c>
      <c r="D124" s="104">
        <f>VLOOKUP(B124,Punten!$C$3:$AD$224,17,0)</f>
        <v>64.658999999999992</v>
      </c>
      <c r="E124" s="104">
        <f>VLOOKUP(C124,Punten!$C$3:$AD$224,17,0)</f>
        <v>72.954999999999998</v>
      </c>
    </row>
    <row r="125" spans="1:10" ht="15" customHeight="1" x14ac:dyDescent="0.25">
      <c r="A125" s="97">
        <v>46034</v>
      </c>
      <c r="B125" s="98" t="s">
        <v>15</v>
      </c>
      <c r="C125" s="98" t="s">
        <v>291</v>
      </c>
      <c r="D125" s="104">
        <f>VLOOKUP(B125,Punten!$C$3:$AD$224,17,0)</f>
        <v>53.589999999999996</v>
      </c>
      <c r="E125" s="104">
        <f>VLOOKUP(C125,Punten!$C$3:$AD$224,17,0)</f>
        <v>59.389000000000003</v>
      </c>
    </row>
    <row r="126" spans="1:10" ht="15" customHeight="1" x14ac:dyDescent="0.25">
      <c r="A126" s="97">
        <v>46036</v>
      </c>
      <c r="B126" s="98" t="s">
        <v>6</v>
      </c>
      <c r="C126" s="98" t="s">
        <v>9</v>
      </c>
      <c r="D126" s="104">
        <f>VLOOKUP(B126,Punten!$C$3:$AD$224,17,0)</f>
        <v>55.895000000000003</v>
      </c>
      <c r="E126" s="104">
        <f>VLOOKUP(C126,Punten!$C$3:$AD$224,17,0)</f>
        <v>55.182000000000002</v>
      </c>
    </row>
    <row r="127" spans="1:10" ht="15" customHeight="1" x14ac:dyDescent="0.25">
      <c r="A127" s="97">
        <v>46036</v>
      </c>
      <c r="B127" s="98" t="s">
        <v>5</v>
      </c>
      <c r="C127" s="98" t="s">
        <v>12</v>
      </c>
      <c r="D127" s="104">
        <f>VLOOKUP(B127,Punten!$C$3:$AD$224,17,0)</f>
        <v>50.805999999999997</v>
      </c>
      <c r="E127" s="104">
        <f>VLOOKUP(C127,Punten!$C$3:$AD$224,17,0)</f>
        <v>67.207999999999998</v>
      </c>
    </row>
    <row r="128" spans="1:10" ht="15" customHeight="1" x14ac:dyDescent="0.25">
      <c r="A128" s="170">
        <v>46037</v>
      </c>
      <c r="B128" s="171" t="s">
        <v>10</v>
      </c>
      <c r="C128" s="171" t="s">
        <v>14</v>
      </c>
      <c r="D128" s="104">
        <f>VLOOKUP(B128,Punten!$C$3:$AD$224,17,0)</f>
        <v>48.348999999999997</v>
      </c>
      <c r="E128" s="104">
        <f>VLOOKUP(C128,Punten!$C$3:$AD$224,17,0)</f>
        <v>61.230000000000004</v>
      </c>
    </row>
    <row r="129" spans="1:5" ht="15" customHeight="1" x14ac:dyDescent="0.25">
      <c r="A129" s="97">
        <v>46037</v>
      </c>
      <c r="B129" s="105" t="s">
        <v>13</v>
      </c>
      <c r="C129" s="98" t="s">
        <v>16</v>
      </c>
      <c r="D129" s="104">
        <f>VLOOKUP(B129,Punten!$C$3:$AD$224,17,0)</f>
        <v>69.942999999999998</v>
      </c>
      <c r="E129" s="104">
        <f>VLOOKUP(C129,Punten!$C$3:$AD$224,17,0)</f>
        <v>76.884</v>
      </c>
    </row>
    <row r="130" spans="1:5" ht="13.9" customHeight="1" x14ac:dyDescent="0.25">
      <c r="A130" s="97"/>
      <c r="B130" s="98"/>
      <c r="C130" s="98"/>
      <c r="D130" s="104"/>
      <c r="E130" s="104"/>
    </row>
    <row r="131" spans="1:5" ht="15" customHeight="1" x14ac:dyDescent="0.25">
      <c r="A131" s="96">
        <v>46041</v>
      </c>
      <c r="B131" s="120" t="s">
        <v>14</v>
      </c>
      <c r="C131" s="105" t="s">
        <v>15</v>
      </c>
      <c r="D131" s="104" t="str">
        <f>VLOOKUP(B131,Punten!$C$3:$AD$224,18,0)</f>
        <v xml:space="preserve"> </v>
      </c>
      <c r="E131" s="104" t="str">
        <f>VLOOKUP(C131,Punten!$C$3:$AD$224,18,0)</f>
        <v xml:space="preserve"> </v>
      </c>
    </row>
    <row r="132" spans="1:5" ht="15" customHeight="1" x14ac:dyDescent="0.25">
      <c r="A132" s="96">
        <v>46041</v>
      </c>
      <c r="B132" s="120" t="s">
        <v>7</v>
      </c>
      <c r="C132" s="98" t="s">
        <v>11</v>
      </c>
      <c r="D132" s="104" t="str">
        <f>VLOOKUP(B132,Punten!$C$3:$AD$224,18,0)</f>
        <v xml:space="preserve"> </v>
      </c>
      <c r="E132" s="104" t="str">
        <f>VLOOKUP(C132,Punten!$C$3:$AD$224,18,0)</f>
        <v xml:space="preserve"> </v>
      </c>
    </row>
    <row r="133" spans="1:5" ht="15" customHeight="1" x14ac:dyDescent="0.25">
      <c r="A133" s="96">
        <v>46042</v>
      </c>
      <c r="B133" s="98" t="s">
        <v>16</v>
      </c>
      <c r="C133" s="98" t="s">
        <v>290</v>
      </c>
      <c r="D133" s="104" t="str">
        <f>VLOOKUP(B133,Punten!$C$3:$AD$224,18,0)</f>
        <v xml:space="preserve"> </v>
      </c>
      <c r="E133" s="104" t="str">
        <f>VLOOKUP(C133,Punten!$C$3:$AD$224,18,0)</f>
        <v xml:space="preserve"> </v>
      </c>
    </row>
    <row r="134" spans="1:5" ht="15" customHeight="1" x14ac:dyDescent="0.25">
      <c r="A134" s="96">
        <v>46042</v>
      </c>
      <c r="B134" s="98" t="s">
        <v>9</v>
      </c>
      <c r="C134" s="98" t="s">
        <v>291</v>
      </c>
      <c r="D134" s="104" t="str">
        <f>VLOOKUP(B134,Punten!$C$3:$AD$224,18,0)</f>
        <v xml:space="preserve"> </v>
      </c>
      <c r="E134" s="104" t="str">
        <f>VLOOKUP(C134,Punten!$C$3:$AD$224,18,0)</f>
        <v xml:space="preserve"> </v>
      </c>
    </row>
    <row r="135" spans="1:5" ht="15" customHeight="1" x14ac:dyDescent="0.25">
      <c r="A135" s="97">
        <v>46042</v>
      </c>
      <c r="B135" s="98" t="s">
        <v>8</v>
      </c>
      <c r="C135" s="98" t="s">
        <v>6</v>
      </c>
      <c r="D135" s="104" t="str">
        <f>VLOOKUP(B135,Punten!$C$3:$AD$224,18,0)</f>
        <v xml:space="preserve"> </v>
      </c>
      <c r="E135" s="104" t="str">
        <f>VLOOKUP(C135,Punten!$C$3:$AD$224,18,0)</f>
        <v xml:space="preserve"> </v>
      </c>
    </row>
    <row r="136" spans="1:5" ht="15" customHeight="1" x14ac:dyDescent="0.25">
      <c r="A136" s="96">
        <v>46044</v>
      </c>
      <c r="B136" s="98" t="s">
        <v>10</v>
      </c>
      <c r="C136" s="98" t="s">
        <v>5</v>
      </c>
      <c r="D136" s="104" t="str">
        <f>VLOOKUP(B136,Punten!$C$3:$AD$224,18,0)</f>
        <v xml:space="preserve"> </v>
      </c>
      <c r="E136" s="104" t="str">
        <f>VLOOKUP(C136,Punten!$C$3:$AD$224,18,0)</f>
        <v xml:space="preserve"> </v>
      </c>
    </row>
    <row r="137" spans="1:5" ht="15" customHeight="1" x14ac:dyDescent="0.25">
      <c r="A137" s="96">
        <v>46045</v>
      </c>
      <c r="B137" s="98" t="s">
        <v>12</v>
      </c>
      <c r="C137" s="98" t="s">
        <v>13</v>
      </c>
      <c r="D137" s="104" t="str">
        <f>VLOOKUP(B137,Punten!$C$3:$AD$224,18,0)</f>
        <v xml:space="preserve"> </v>
      </c>
      <c r="E137" s="104" t="str">
        <f>VLOOKUP(C137,Punten!$C$3:$AD$224,18,0)</f>
        <v xml:space="preserve"> </v>
      </c>
    </row>
    <row r="138" spans="1:5" ht="13.9" customHeight="1" x14ac:dyDescent="0.25">
      <c r="A138" s="97"/>
      <c r="B138" s="98"/>
      <c r="C138" s="98"/>
      <c r="D138" s="104"/>
      <c r="E138" s="104"/>
    </row>
    <row r="139" spans="1:5" ht="15" customHeight="1" x14ac:dyDescent="0.25">
      <c r="A139" s="97">
        <v>46048</v>
      </c>
      <c r="B139" s="98" t="s">
        <v>15</v>
      </c>
      <c r="C139" s="98" t="s">
        <v>9</v>
      </c>
      <c r="D139" s="104" t="str">
        <f>VLOOKUP(B139,Punten!$C$3:$AD$224,19,0)</f>
        <v xml:space="preserve"> </v>
      </c>
      <c r="E139" s="104" t="str">
        <f>VLOOKUP(C139,Punten!$C$3:$AD$224,19,0)</f>
        <v xml:space="preserve"> </v>
      </c>
    </row>
    <row r="140" spans="1:5" ht="15" customHeight="1" x14ac:dyDescent="0.25">
      <c r="A140" s="170">
        <v>46048</v>
      </c>
      <c r="B140" s="171" t="s">
        <v>12</v>
      </c>
      <c r="C140" s="171" t="s">
        <v>290</v>
      </c>
      <c r="D140" s="104" t="str">
        <f>VLOOKUP(B140,Punten!$C$3:$AD$224,19,0)</f>
        <v xml:space="preserve"> </v>
      </c>
      <c r="E140" s="104" t="str">
        <f>VLOOKUP(C140,Punten!$C$3:$AD$224,19,0)</f>
        <v xml:space="preserve"> </v>
      </c>
    </row>
    <row r="141" spans="1:5" ht="15" customHeight="1" x14ac:dyDescent="0.25">
      <c r="A141" s="97">
        <v>46049</v>
      </c>
      <c r="B141" s="105" t="s">
        <v>291</v>
      </c>
      <c r="C141" s="98" t="s">
        <v>8</v>
      </c>
      <c r="D141" s="104" t="str">
        <f>VLOOKUP(B141,Punten!$C$3:$AD$224,19,0)</f>
        <v xml:space="preserve"> </v>
      </c>
      <c r="E141" s="104" t="str">
        <f>VLOOKUP(C141,Punten!$C$3:$AD$224,19,0)</f>
        <v xml:space="preserve"> </v>
      </c>
    </row>
    <row r="142" spans="1:5" ht="15" customHeight="1" x14ac:dyDescent="0.25">
      <c r="A142" s="97">
        <v>46050</v>
      </c>
      <c r="B142" s="98" t="s">
        <v>6</v>
      </c>
      <c r="C142" s="98" t="s">
        <v>7</v>
      </c>
      <c r="D142" s="104" t="str">
        <f>VLOOKUP(B142,Punten!$C$3:$AD$224,19,0)</f>
        <v xml:space="preserve"> </v>
      </c>
      <c r="E142" s="104" t="str">
        <f>VLOOKUP(C142,Punten!$C$3:$AD$224,19,0)</f>
        <v xml:space="preserve"> </v>
      </c>
    </row>
    <row r="143" spans="1:5" ht="15" customHeight="1" x14ac:dyDescent="0.25">
      <c r="A143" s="97">
        <v>46050</v>
      </c>
      <c r="B143" s="98" t="s">
        <v>5</v>
      </c>
      <c r="C143" s="98" t="s">
        <v>14</v>
      </c>
      <c r="D143" s="104" t="str">
        <f>VLOOKUP(B143,Punten!$C$3:$AD$224,19,0)</f>
        <v xml:space="preserve"> </v>
      </c>
      <c r="E143" s="104" t="str">
        <f>VLOOKUP(C143,Punten!$C$3:$AD$224,19,0)</f>
        <v xml:space="preserve"> </v>
      </c>
    </row>
    <row r="144" spans="1:5" ht="15" customHeight="1" x14ac:dyDescent="0.25">
      <c r="A144" s="118">
        <v>46051</v>
      </c>
      <c r="B144" s="121" t="s">
        <v>11</v>
      </c>
      <c r="C144" s="121" t="s">
        <v>16</v>
      </c>
      <c r="D144" s="104" t="str">
        <f>VLOOKUP(B144,Punten!$C$3:$AD$224,19,0)</f>
        <v xml:space="preserve"> </v>
      </c>
      <c r="E144" s="104" t="str">
        <f>VLOOKUP(C144,Punten!$C$3:$AD$224,19,0)</f>
        <v xml:space="preserve"> </v>
      </c>
    </row>
    <row r="145" spans="1:5" ht="15" customHeight="1" x14ac:dyDescent="0.25">
      <c r="A145" s="97">
        <v>46051</v>
      </c>
      <c r="B145" s="98" t="s">
        <v>13</v>
      </c>
      <c r="C145" s="98" t="s">
        <v>10</v>
      </c>
      <c r="D145" s="104" t="str">
        <f>VLOOKUP(B145,Punten!$C$3:$AD$224,19,0)</f>
        <v xml:space="preserve"> </v>
      </c>
      <c r="E145" s="104" t="str">
        <f>VLOOKUP(C145,Punten!$C$3:$AD$224,19,0)</f>
        <v xml:space="preserve"> </v>
      </c>
    </row>
    <row r="146" spans="1:5" ht="13.9" customHeight="1" x14ac:dyDescent="0.25">
      <c r="A146" s="97"/>
      <c r="B146" s="98"/>
      <c r="C146" s="98"/>
      <c r="D146" s="104"/>
      <c r="E146" s="104"/>
    </row>
    <row r="147" spans="1:5" ht="15" customHeight="1" x14ac:dyDescent="0.25">
      <c r="A147" s="97">
        <v>46062</v>
      </c>
      <c r="B147" s="98" t="s">
        <v>290</v>
      </c>
      <c r="C147" s="98" t="s">
        <v>6</v>
      </c>
      <c r="D147" s="104" t="str">
        <f>VLOOKUP(B147,Punten!$C$3:$AD$224,20,0)</f>
        <v xml:space="preserve"> </v>
      </c>
      <c r="E147" s="104" t="str">
        <f>VLOOKUP(C147,Punten!$C$3:$AD$224,20,0)</f>
        <v xml:space="preserve"> </v>
      </c>
    </row>
    <row r="148" spans="1:5" ht="15" customHeight="1" x14ac:dyDescent="0.25">
      <c r="A148" s="97">
        <v>46062</v>
      </c>
      <c r="B148" s="98" t="s">
        <v>15</v>
      </c>
      <c r="C148" s="98" t="s">
        <v>11</v>
      </c>
      <c r="D148" s="104" t="str">
        <f>VLOOKUP(B148,Punten!$C$3:$AD$224,20,0)</f>
        <v xml:space="preserve"> </v>
      </c>
      <c r="E148" s="104" t="str">
        <f>VLOOKUP(C148,Punten!$C$3:$AD$224,20,0)</f>
        <v xml:space="preserve"> </v>
      </c>
    </row>
    <row r="149" spans="1:5" ht="15" customHeight="1" x14ac:dyDescent="0.25">
      <c r="A149" s="170">
        <v>46063</v>
      </c>
      <c r="B149" s="208" t="s">
        <v>8</v>
      </c>
      <c r="C149" s="171" t="s">
        <v>14</v>
      </c>
      <c r="D149" s="104" t="str">
        <f>VLOOKUP(B149,Punten!$C$3:$AD$224,20,0)</f>
        <v xml:space="preserve"> </v>
      </c>
      <c r="E149" s="104" t="str">
        <f>VLOOKUP(C149,Punten!$C$3:$AD$224,20,0)</f>
        <v xml:space="preserve"> </v>
      </c>
    </row>
    <row r="150" spans="1:5" ht="15" customHeight="1" x14ac:dyDescent="0.25">
      <c r="A150" s="97">
        <v>46064</v>
      </c>
      <c r="B150" s="98" t="s">
        <v>5</v>
      </c>
      <c r="C150" s="105" t="s">
        <v>9</v>
      </c>
      <c r="D150" s="104" t="str">
        <f>VLOOKUP(B150,Punten!$C$3:$AD$224,20,0)</f>
        <v xml:space="preserve"> </v>
      </c>
      <c r="E150" s="104" t="str">
        <f>VLOOKUP(C150,Punten!$C$3:$AD$224,20,0)</f>
        <v xml:space="preserve"> </v>
      </c>
    </row>
    <row r="151" spans="1:5" ht="15" customHeight="1" x14ac:dyDescent="0.25">
      <c r="A151" s="97">
        <v>46065</v>
      </c>
      <c r="B151" s="98" t="s">
        <v>13</v>
      </c>
      <c r="C151" s="98" t="s">
        <v>291</v>
      </c>
      <c r="D151" s="104" t="str">
        <f>VLOOKUP(B151,Punten!$C$3:$AD$224,20,0)</f>
        <v xml:space="preserve"> </v>
      </c>
      <c r="E151" s="104" t="str">
        <f>VLOOKUP(C151,Punten!$C$3:$AD$224,20,0)</f>
        <v xml:space="preserve"> </v>
      </c>
    </row>
    <row r="152" spans="1:5" ht="15" customHeight="1" x14ac:dyDescent="0.25">
      <c r="A152" s="97">
        <v>46065</v>
      </c>
      <c r="B152" s="98" t="s">
        <v>10</v>
      </c>
      <c r="C152" s="98" t="s">
        <v>7</v>
      </c>
      <c r="D152" s="104" t="str">
        <f>VLOOKUP(B152,Punten!$C$3:$AD$224,20,0)</f>
        <v xml:space="preserve"> </v>
      </c>
      <c r="E152" s="104" t="str">
        <f>VLOOKUP(C152,Punten!$C$3:$AD$224,20,0)</f>
        <v xml:space="preserve"> </v>
      </c>
    </row>
    <row r="153" spans="1:5" ht="15" customHeight="1" x14ac:dyDescent="0.25">
      <c r="A153" s="97">
        <v>46066</v>
      </c>
      <c r="B153" s="98" t="s">
        <v>12</v>
      </c>
      <c r="C153" s="98" t="s">
        <v>16</v>
      </c>
      <c r="D153" s="104" t="str">
        <f>VLOOKUP(B153,Punten!$C$3:$AD$224,20,0)</f>
        <v xml:space="preserve"> </v>
      </c>
      <c r="E153" s="104" t="str">
        <f>VLOOKUP(C153,Punten!$C$3:$AD$224,20,0)</f>
        <v xml:space="preserve"> </v>
      </c>
    </row>
    <row r="154" spans="1:5" ht="13.9" customHeight="1" x14ac:dyDescent="0.25">
      <c r="A154" s="97"/>
      <c r="B154" s="98"/>
      <c r="C154" s="98"/>
      <c r="D154" s="104"/>
      <c r="E154" s="104"/>
    </row>
    <row r="155" spans="1:5" ht="15" customHeight="1" x14ac:dyDescent="0.25">
      <c r="A155" s="97">
        <v>46076</v>
      </c>
      <c r="B155" s="98" t="s">
        <v>7</v>
      </c>
      <c r="C155" s="98" t="s">
        <v>14</v>
      </c>
      <c r="D155" s="104" t="str">
        <f>VLOOKUP(B155,Punten!$C$3:$AD$224,21,0)</f>
        <v xml:space="preserve"> </v>
      </c>
      <c r="E155" s="104" t="str">
        <f>VLOOKUP(C155,Punten!$C$3:$AD$224,21,0)</f>
        <v xml:space="preserve"> </v>
      </c>
    </row>
    <row r="156" spans="1:5" ht="15" customHeight="1" x14ac:dyDescent="0.25">
      <c r="A156" s="97">
        <v>46077</v>
      </c>
      <c r="B156" s="98" t="s">
        <v>291</v>
      </c>
      <c r="C156" s="98" t="s">
        <v>290</v>
      </c>
      <c r="D156" s="104" t="str">
        <f>VLOOKUP(B156,Punten!$C$3:$AD$224,21,0)</f>
        <v xml:space="preserve"> </v>
      </c>
      <c r="E156" s="104" t="str">
        <f>VLOOKUP(C156,Punten!$C$3:$AD$224,21,0)</f>
        <v xml:space="preserve"> </v>
      </c>
    </row>
    <row r="157" spans="1:5" ht="15" customHeight="1" x14ac:dyDescent="0.25">
      <c r="A157" s="97">
        <v>46077</v>
      </c>
      <c r="B157" s="98" t="s">
        <v>9</v>
      </c>
      <c r="C157" s="98" t="s">
        <v>13</v>
      </c>
      <c r="D157" s="104" t="str">
        <f>VLOOKUP(B157,Punten!$C$3:$AD$224,21,0)</f>
        <v xml:space="preserve"> </v>
      </c>
      <c r="E157" s="104" t="str">
        <f>VLOOKUP(C157,Punten!$C$3:$AD$224,21,0)</f>
        <v xml:space="preserve"> </v>
      </c>
    </row>
    <row r="158" spans="1:5" ht="15" customHeight="1" x14ac:dyDescent="0.25">
      <c r="A158" s="97">
        <v>46077</v>
      </c>
      <c r="B158" s="98" t="s">
        <v>16</v>
      </c>
      <c r="C158" s="98" t="s">
        <v>10</v>
      </c>
      <c r="D158" s="104" t="str">
        <f>VLOOKUP(B158,Punten!$C$3:$AD$224,21,0)</f>
        <v xml:space="preserve"> </v>
      </c>
      <c r="E158" s="104" t="str">
        <f>VLOOKUP(C158,Punten!$C$3:$AD$224,21,0)</f>
        <v xml:space="preserve"> </v>
      </c>
    </row>
    <row r="159" spans="1:5" ht="15" customHeight="1" x14ac:dyDescent="0.25">
      <c r="A159" s="217">
        <v>46078</v>
      </c>
      <c r="B159" s="208" t="s">
        <v>5</v>
      </c>
      <c r="C159" s="171" t="s">
        <v>8</v>
      </c>
      <c r="D159" s="104" t="str">
        <f>VLOOKUP(B159,Punten!$C$3:$AD$224,21,0)</f>
        <v xml:space="preserve"> </v>
      </c>
      <c r="E159" s="104" t="str">
        <f>VLOOKUP(C159,Punten!$C$3:$AD$224,21,0)</f>
        <v xml:space="preserve"> </v>
      </c>
    </row>
    <row r="160" spans="1:5" ht="15" customHeight="1" x14ac:dyDescent="0.25">
      <c r="A160" s="97">
        <v>46078</v>
      </c>
      <c r="B160" s="98" t="s">
        <v>6</v>
      </c>
      <c r="C160" s="98" t="s">
        <v>11</v>
      </c>
      <c r="D160" s="104" t="str">
        <f>VLOOKUP(B160,Punten!$C$3:$AD$224,21,0)</f>
        <v xml:space="preserve"> </v>
      </c>
      <c r="E160" s="104" t="str">
        <f>VLOOKUP(C160,Punten!$C$3:$AD$224,21,0)</f>
        <v xml:space="preserve"> </v>
      </c>
    </row>
    <row r="161" spans="1:5" ht="15" customHeight="1" x14ac:dyDescent="0.25">
      <c r="A161" s="97">
        <v>46080</v>
      </c>
      <c r="B161" s="98" t="s">
        <v>12</v>
      </c>
      <c r="C161" s="98" t="s">
        <v>15</v>
      </c>
      <c r="D161" s="104" t="str">
        <f>VLOOKUP(B161,Punten!$C$3:$AD$224,21,0)</f>
        <v xml:space="preserve"> </v>
      </c>
      <c r="E161" s="104" t="str">
        <f>VLOOKUP(C161,Punten!$C$3:$AD$224,21,0)</f>
        <v xml:space="preserve"> </v>
      </c>
    </row>
    <row r="162" spans="1:5" ht="13.9" customHeight="1" x14ac:dyDescent="0.25">
      <c r="A162" s="96"/>
      <c r="B162" s="110"/>
      <c r="C162" s="110"/>
      <c r="D162" s="104"/>
      <c r="E162" s="104"/>
    </row>
    <row r="163" spans="1:5" ht="15" customHeight="1" x14ac:dyDescent="0.25">
      <c r="A163" s="97">
        <v>46090</v>
      </c>
      <c r="B163" s="98" t="s">
        <v>15</v>
      </c>
      <c r="C163" s="105" t="s">
        <v>6</v>
      </c>
      <c r="D163" s="104" t="str">
        <f>VLOOKUP(B163,Punten!$C$3:$AD$224,22,0)</f>
        <v xml:space="preserve"> </v>
      </c>
      <c r="E163" s="104" t="str">
        <f>VLOOKUP(C163,Punten!$C$3:$AD$224,22,0)</f>
        <v xml:space="preserve"> </v>
      </c>
    </row>
    <row r="164" spans="1:5" ht="15" customHeight="1" x14ac:dyDescent="0.25">
      <c r="A164" s="97">
        <v>46090</v>
      </c>
      <c r="B164" s="98" t="s">
        <v>14</v>
      </c>
      <c r="C164" s="98" t="s">
        <v>16</v>
      </c>
      <c r="D164" s="104" t="str">
        <f>VLOOKUP(B164,Punten!$C$3:$AD$224,22,0)</f>
        <v xml:space="preserve"> </v>
      </c>
      <c r="E164" s="104" t="str">
        <f>VLOOKUP(C164,Punten!$C$3:$AD$224,22,0)</f>
        <v xml:space="preserve"> </v>
      </c>
    </row>
    <row r="165" spans="1:5" ht="15" customHeight="1" x14ac:dyDescent="0.25">
      <c r="A165" s="97">
        <v>46090</v>
      </c>
      <c r="B165" s="98" t="s">
        <v>11</v>
      </c>
      <c r="C165" s="98" t="s">
        <v>291</v>
      </c>
      <c r="D165" s="104" t="str">
        <f>VLOOKUP(B165,Punten!$C$3:$AD$224,22,0)</f>
        <v xml:space="preserve"> </v>
      </c>
      <c r="E165" s="104" t="str">
        <f>VLOOKUP(C165,Punten!$C$3:$AD$224,22,0)</f>
        <v xml:space="preserve"> </v>
      </c>
    </row>
    <row r="166" spans="1:5" ht="15" customHeight="1" x14ac:dyDescent="0.25">
      <c r="A166" s="97">
        <v>46090</v>
      </c>
      <c r="B166" s="98" t="s">
        <v>290</v>
      </c>
      <c r="C166" s="98" t="s">
        <v>9</v>
      </c>
      <c r="D166" s="104" t="str">
        <f>VLOOKUP(B166,Punten!$C$3:$AD$224,22,0)</f>
        <v xml:space="preserve"> </v>
      </c>
      <c r="E166" s="104" t="str">
        <f>VLOOKUP(C166,Punten!$C$3:$AD$224,22,0)</f>
        <v xml:space="preserve"> </v>
      </c>
    </row>
    <row r="167" spans="1:5" ht="15" customHeight="1" x14ac:dyDescent="0.25">
      <c r="A167" s="97">
        <v>46092</v>
      </c>
      <c r="B167" s="98" t="s">
        <v>5</v>
      </c>
      <c r="C167" s="98" t="s">
        <v>7</v>
      </c>
      <c r="D167" s="104" t="str">
        <f>VLOOKUP(B167,Punten!$C$3:$AD$224,22,0)</f>
        <v xml:space="preserve"> </v>
      </c>
      <c r="E167" s="104" t="str">
        <f>VLOOKUP(C167,Punten!$C$3:$AD$224,22,0)</f>
        <v xml:space="preserve"> </v>
      </c>
    </row>
    <row r="168" spans="1:5" ht="15" customHeight="1" x14ac:dyDescent="0.25">
      <c r="A168" s="170">
        <v>46091</v>
      </c>
      <c r="B168" s="171" t="s">
        <v>8</v>
      </c>
      <c r="C168" s="171" t="s">
        <v>13</v>
      </c>
      <c r="D168" s="104" t="str">
        <f>VLOOKUP(B168,Punten!$C$3:$AD$224,22,0)</f>
        <v xml:space="preserve"> </v>
      </c>
      <c r="E168" s="104" t="str">
        <f>VLOOKUP(C168,Punten!$C$3:$AD$224,22,0)</f>
        <v xml:space="preserve"> </v>
      </c>
    </row>
    <row r="169" spans="1:5" ht="15" customHeight="1" x14ac:dyDescent="0.25">
      <c r="A169" s="97">
        <v>46093</v>
      </c>
      <c r="B169" s="98" t="s">
        <v>10</v>
      </c>
      <c r="C169" s="98" t="s">
        <v>12</v>
      </c>
      <c r="D169" s="104" t="str">
        <f>VLOOKUP(B169,Punten!$C$3:$AD$224,22,0)</f>
        <v xml:space="preserve"> </v>
      </c>
      <c r="E169" s="104" t="str">
        <f>VLOOKUP(C169,Punten!$C$3:$AD$224,22,0)</f>
        <v xml:space="preserve"> </v>
      </c>
    </row>
    <row r="170" spans="1:5" ht="7.9" customHeight="1" x14ac:dyDescent="0.25">
      <c r="A170" s="97"/>
      <c r="B170" s="105"/>
      <c r="C170" s="98"/>
      <c r="D170" s="104"/>
      <c r="E170" s="104"/>
    </row>
    <row r="171" spans="1:5" ht="15" customHeight="1" x14ac:dyDescent="0.25">
      <c r="A171" s="96">
        <v>46104</v>
      </c>
      <c r="B171" s="98" t="s">
        <v>7</v>
      </c>
      <c r="C171" s="98" t="s">
        <v>291</v>
      </c>
      <c r="D171" s="104" t="str">
        <f>VLOOKUP(B171,Punten!$C$3:$AD$224,23,0)</f>
        <v xml:space="preserve"> </v>
      </c>
      <c r="E171" s="104" t="str">
        <f>VLOOKUP(C171,Punten!$C$3:$AD$224,23,0)</f>
        <v xml:space="preserve"> </v>
      </c>
    </row>
    <row r="172" spans="1:5" ht="15" customHeight="1" x14ac:dyDescent="0.25">
      <c r="A172" s="96">
        <v>46104</v>
      </c>
      <c r="B172" s="98" t="s">
        <v>15</v>
      </c>
      <c r="C172" s="98" t="s">
        <v>5</v>
      </c>
      <c r="D172" s="104" t="str">
        <f>VLOOKUP(B172,Punten!$C$3:$AD$224,23,0)</f>
        <v xml:space="preserve"> </v>
      </c>
      <c r="E172" s="104" t="str">
        <f>VLOOKUP(C172,Punten!$C$3:$AD$224,23,0)</f>
        <v xml:space="preserve"> </v>
      </c>
    </row>
    <row r="173" spans="1:5" ht="15" customHeight="1" x14ac:dyDescent="0.25">
      <c r="A173" s="96">
        <v>46104</v>
      </c>
      <c r="B173" s="98" t="s">
        <v>290</v>
      </c>
      <c r="C173" s="105" t="s">
        <v>10</v>
      </c>
      <c r="D173" s="104" t="str">
        <f>VLOOKUP(B173,Punten!$C$3:$AD$224,23,0)</f>
        <v xml:space="preserve"> </v>
      </c>
      <c r="E173" s="104" t="str">
        <f>VLOOKUP(C173,Punten!$C$3:$AD$224,23,0)</f>
        <v xml:space="preserve"> </v>
      </c>
    </row>
    <row r="174" spans="1:5" ht="15" customHeight="1" x14ac:dyDescent="0.25">
      <c r="A174" s="96">
        <v>46104</v>
      </c>
      <c r="B174" s="98" t="s">
        <v>14</v>
      </c>
      <c r="C174" s="98" t="s">
        <v>13</v>
      </c>
      <c r="D174" s="104" t="str">
        <f>VLOOKUP(B174,Punten!$C$3:$AD$224,23,0)</f>
        <v xml:space="preserve"> </v>
      </c>
      <c r="E174" s="104" t="str">
        <f>VLOOKUP(C174,Punten!$C$3:$AD$224,23,0)</f>
        <v xml:space="preserve"> </v>
      </c>
    </row>
    <row r="175" spans="1:5" ht="15" customHeight="1" x14ac:dyDescent="0.25">
      <c r="A175" s="170">
        <v>46105</v>
      </c>
      <c r="B175" s="171" t="s">
        <v>8</v>
      </c>
      <c r="C175" s="171" t="s">
        <v>9</v>
      </c>
      <c r="D175" s="104" t="str">
        <f>VLOOKUP(B175,Punten!$C$3:$AD$224,23,0)</f>
        <v xml:space="preserve"> </v>
      </c>
      <c r="E175" s="104" t="str">
        <f>VLOOKUP(C175,Punten!$C$3:$AD$224,23,0)</f>
        <v xml:space="preserve"> </v>
      </c>
    </row>
    <row r="176" spans="1:5" ht="15" customHeight="1" x14ac:dyDescent="0.25">
      <c r="A176" s="96">
        <v>46105</v>
      </c>
      <c r="B176" s="98" t="s">
        <v>16</v>
      </c>
      <c r="C176" s="98" t="s">
        <v>6</v>
      </c>
      <c r="D176" s="104" t="str">
        <f>VLOOKUP(B176,Punten!$C$3:$AD$224,23,0)</f>
        <v xml:space="preserve"> </v>
      </c>
      <c r="E176" s="104" t="str">
        <f>VLOOKUP(C176,Punten!$C$3:$AD$224,23,0)</f>
        <v xml:space="preserve"> </v>
      </c>
    </row>
    <row r="177" spans="1:5" ht="15" customHeight="1" x14ac:dyDescent="0.25">
      <c r="A177" s="96">
        <v>46108</v>
      </c>
      <c r="B177" s="98" t="s">
        <v>12</v>
      </c>
      <c r="C177" s="98" t="s">
        <v>11</v>
      </c>
      <c r="D177" s="104" t="str">
        <f>VLOOKUP(B177,Punten!$C$3:$AD$224,23,0)</f>
        <v xml:space="preserve"> </v>
      </c>
      <c r="E177" s="104" t="str">
        <f>VLOOKUP(C177,Punten!$C$3:$AD$224,23,0)</f>
        <v xml:space="preserve"> </v>
      </c>
    </row>
    <row r="178" spans="1:5" ht="7.9" customHeight="1" x14ac:dyDescent="0.25">
      <c r="A178" s="96"/>
      <c r="B178" s="98"/>
      <c r="C178" s="98"/>
      <c r="D178" s="104"/>
      <c r="E178" s="104"/>
    </row>
    <row r="179" spans="1:5" ht="15" customHeight="1" x14ac:dyDescent="0.25">
      <c r="A179" s="117">
        <v>46119</v>
      </c>
      <c r="B179" s="121" t="s">
        <v>290</v>
      </c>
      <c r="C179" s="121" t="s">
        <v>14</v>
      </c>
      <c r="D179" s="104" t="str">
        <f>VLOOKUP(B179,Punten!$C$3:$AD$224,24,0)</f>
        <v xml:space="preserve"> </v>
      </c>
      <c r="E179" s="104" t="str">
        <f>VLOOKUP(C179,Punten!$C$3:$AD$224,24,0)</f>
        <v xml:space="preserve"> </v>
      </c>
    </row>
    <row r="180" spans="1:5" ht="15" customHeight="1" x14ac:dyDescent="0.25">
      <c r="A180" s="96">
        <v>46119</v>
      </c>
      <c r="B180" s="98" t="s">
        <v>9</v>
      </c>
      <c r="C180" s="98" t="s">
        <v>7</v>
      </c>
      <c r="D180" s="104" t="str">
        <f>VLOOKUP(B180,Punten!$C$3:$AD$224,24,0)</f>
        <v xml:space="preserve"> </v>
      </c>
      <c r="E180" s="104" t="str">
        <f>VLOOKUP(C180,Punten!$C$3:$AD$224,24,0)</f>
        <v xml:space="preserve"> </v>
      </c>
    </row>
    <row r="181" spans="1:5" ht="15" customHeight="1" x14ac:dyDescent="0.25">
      <c r="A181" s="96">
        <v>46119</v>
      </c>
      <c r="B181" s="98" t="s">
        <v>8</v>
      </c>
      <c r="C181" s="98" t="s">
        <v>15</v>
      </c>
      <c r="D181" s="104" t="str">
        <f>VLOOKUP(B181,Punten!$C$3:$AD$224,24,0)</f>
        <v xml:space="preserve"> </v>
      </c>
      <c r="E181" s="104" t="str">
        <f>VLOOKUP(C181,Punten!$C$3:$AD$224,24,0)</f>
        <v xml:space="preserve"> </v>
      </c>
    </row>
    <row r="182" spans="1:5" ht="15" customHeight="1" x14ac:dyDescent="0.25">
      <c r="A182" s="96">
        <v>46119</v>
      </c>
      <c r="B182" s="98" t="s">
        <v>291</v>
      </c>
      <c r="C182" s="98" t="s">
        <v>16</v>
      </c>
      <c r="D182" s="104" t="str">
        <f>VLOOKUP(B182,Punten!$C$3:$AD$224,24,0)</f>
        <v xml:space="preserve"> </v>
      </c>
      <c r="E182" s="104" t="str">
        <f>VLOOKUP(C182,Punten!$C$3:$AD$224,24,0)</f>
        <v xml:space="preserve"> </v>
      </c>
    </row>
    <row r="183" spans="1:5" ht="15" customHeight="1" x14ac:dyDescent="0.25">
      <c r="A183" s="97">
        <v>46120</v>
      </c>
      <c r="B183" s="98" t="s">
        <v>6</v>
      </c>
      <c r="C183" s="98" t="s">
        <v>12</v>
      </c>
      <c r="D183" s="104" t="str">
        <f>VLOOKUP(B183,Punten!$C$3:$AD$224,24,0)</f>
        <v xml:space="preserve"> </v>
      </c>
      <c r="E183" s="104" t="str">
        <f>VLOOKUP(C183,Punten!$C$3:$AD$224,24,0)</f>
        <v xml:space="preserve"> </v>
      </c>
    </row>
    <row r="184" spans="1:5" ht="15" customHeight="1" x14ac:dyDescent="0.25">
      <c r="A184" s="96">
        <v>46121</v>
      </c>
      <c r="B184" s="98" t="s">
        <v>11</v>
      </c>
      <c r="C184" s="98" t="s">
        <v>10</v>
      </c>
      <c r="D184" s="104" t="str">
        <f>VLOOKUP(B184,Punten!$C$3:$AD$224,24,0)</f>
        <v xml:space="preserve"> </v>
      </c>
      <c r="E184" s="104" t="str">
        <f>VLOOKUP(C184,Punten!$C$3:$AD$224,24,0)</f>
        <v xml:space="preserve"> </v>
      </c>
    </row>
    <row r="185" spans="1:5" ht="15" customHeight="1" x14ac:dyDescent="0.25">
      <c r="A185" s="96">
        <v>46121</v>
      </c>
      <c r="B185" s="98" t="s">
        <v>13</v>
      </c>
      <c r="C185" s="98" t="s">
        <v>5</v>
      </c>
      <c r="D185" s="104" t="str">
        <f>VLOOKUP(B185,Punten!$C$3:$AD$224,24,0)</f>
        <v xml:space="preserve"> </v>
      </c>
      <c r="E185" s="104" t="str">
        <f>VLOOKUP(C185,Punten!$C$3:$AD$224,24,0)</f>
        <v xml:space="preserve"> </v>
      </c>
    </row>
    <row r="186" spans="1:5" ht="7.9" customHeight="1" x14ac:dyDescent="0.25">
      <c r="A186" s="97"/>
      <c r="B186" s="105"/>
      <c r="C186" s="98"/>
      <c r="D186" s="104"/>
      <c r="E186" s="104"/>
    </row>
    <row r="187" spans="1:5" ht="15" customHeight="1" x14ac:dyDescent="0.25">
      <c r="A187" s="96">
        <v>46132</v>
      </c>
      <c r="B187" s="98" t="s">
        <v>14</v>
      </c>
      <c r="C187" s="98" t="s">
        <v>11</v>
      </c>
      <c r="D187" s="104" t="str">
        <f>VLOOKUP(B187,Punten!$C$3:$AD$224,25,0)</f>
        <v xml:space="preserve"> </v>
      </c>
      <c r="E187" s="104" t="str">
        <f>VLOOKUP(C187,Punten!$C$3:$AD$224,25,0)</f>
        <v xml:space="preserve"> </v>
      </c>
    </row>
    <row r="188" spans="1:5" ht="15" customHeight="1" x14ac:dyDescent="0.25">
      <c r="A188" s="96">
        <v>46132</v>
      </c>
      <c r="B188" s="98" t="s">
        <v>7</v>
      </c>
      <c r="C188" s="98" t="s">
        <v>8</v>
      </c>
      <c r="D188" s="104" t="str">
        <f>VLOOKUP(B188,Punten!$C$3:$AD$224,25,0)</f>
        <v xml:space="preserve"> </v>
      </c>
      <c r="E188" s="104" t="str">
        <f>VLOOKUP(C188,Punten!$C$3:$AD$224,25,0)</f>
        <v xml:space="preserve"> </v>
      </c>
    </row>
    <row r="189" spans="1:5" ht="15" customHeight="1" x14ac:dyDescent="0.25">
      <c r="A189" s="96">
        <v>46133</v>
      </c>
      <c r="B189" s="98" t="s">
        <v>16</v>
      </c>
      <c r="C189" s="105" t="s">
        <v>9</v>
      </c>
      <c r="D189" s="104" t="str">
        <f>VLOOKUP(B189,Punten!$C$3:$AD$224,25,0)</f>
        <v xml:space="preserve"> </v>
      </c>
      <c r="E189" s="104" t="str">
        <f>VLOOKUP(C189,Punten!$C$3:$AD$224,25,0)</f>
        <v xml:space="preserve"> </v>
      </c>
    </row>
    <row r="190" spans="1:5" ht="15" customHeight="1" x14ac:dyDescent="0.25">
      <c r="A190" s="96">
        <v>46134</v>
      </c>
      <c r="B190" s="98" t="s">
        <v>5</v>
      </c>
      <c r="C190" s="98" t="s">
        <v>290</v>
      </c>
      <c r="D190" s="104" t="str">
        <f>VLOOKUP(B190,Punten!$C$3:$AD$224,25,0)</f>
        <v xml:space="preserve"> </v>
      </c>
      <c r="E190" s="104" t="str">
        <f>VLOOKUP(C190,Punten!$C$3:$AD$224,25,0)</f>
        <v xml:space="preserve"> </v>
      </c>
    </row>
    <row r="191" spans="1:5" ht="15" customHeight="1" x14ac:dyDescent="0.25">
      <c r="A191" s="97">
        <v>46135</v>
      </c>
      <c r="B191" s="98" t="s">
        <v>13</v>
      </c>
      <c r="C191" s="98" t="s">
        <v>15</v>
      </c>
      <c r="D191" s="104" t="str">
        <f>VLOOKUP(B191,Punten!$C$3:$AD$224,25,0)</f>
        <v xml:space="preserve"> </v>
      </c>
      <c r="E191" s="104" t="str">
        <f>VLOOKUP(C191,Punten!$C$3:$AD$224,25,0)</f>
        <v xml:space="preserve"> </v>
      </c>
    </row>
    <row r="192" spans="1:5" ht="15" customHeight="1" x14ac:dyDescent="0.25">
      <c r="A192" s="96">
        <v>46135</v>
      </c>
      <c r="B192" s="98" t="s">
        <v>10</v>
      </c>
      <c r="C192" s="98" t="s">
        <v>6</v>
      </c>
      <c r="D192" s="104" t="str">
        <f>VLOOKUP(B192,Punten!$C$3:$AD$224,25,0)</f>
        <v xml:space="preserve"> </v>
      </c>
      <c r="E192" s="104" t="str">
        <f>VLOOKUP(C192,Punten!$C$3:$AD$224,25,0)</f>
        <v xml:space="preserve"> </v>
      </c>
    </row>
    <row r="193" spans="1:5" ht="15" customHeight="1" x14ac:dyDescent="0.25">
      <c r="A193" s="97">
        <v>46136</v>
      </c>
      <c r="B193" s="98" t="s">
        <v>12</v>
      </c>
      <c r="C193" s="98" t="s">
        <v>291</v>
      </c>
      <c r="D193" s="104" t="str">
        <f>VLOOKUP(B193,Punten!$C$3:$AD$224,25,0)</f>
        <v xml:space="preserve"> </v>
      </c>
      <c r="E193" s="104" t="str">
        <f>VLOOKUP(C193,Punten!$C$3:$AD$224,25,0)</f>
        <v xml:space="preserve"> </v>
      </c>
    </row>
    <row r="194" spans="1:5" ht="7.9" customHeight="1" x14ac:dyDescent="0.25">
      <c r="A194" s="96"/>
      <c r="B194" s="98"/>
      <c r="C194" s="98"/>
      <c r="D194" s="104"/>
      <c r="E194" s="104"/>
    </row>
    <row r="195" spans="1:5" ht="15" customHeight="1" x14ac:dyDescent="0.25">
      <c r="A195" s="96">
        <v>46146</v>
      </c>
      <c r="B195" s="98" t="s">
        <v>15</v>
      </c>
      <c r="C195" s="98" t="s">
        <v>7</v>
      </c>
      <c r="D195" s="104" t="str">
        <f>VLOOKUP(B195,Punten!$C$3:$AD$224,26,0)</f>
        <v xml:space="preserve"> </v>
      </c>
      <c r="E195" s="104" t="str">
        <f>VLOOKUP(C195,Punten!$C$3:$AD$224,26,0)</f>
        <v xml:space="preserve"> </v>
      </c>
    </row>
    <row r="196" spans="1:5" ht="15" customHeight="1" x14ac:dyDescent="0.25">
      <c r="A196" s="97">
        <v>46146</v>
      </c>
      <c r="B196" s="98" t="s">
        <v>11</v>
      </c>
      <c r="C196" s="98" t="s">
        <v>5</v>
      </c>
      <c r="D196" s="104" t="str">
        <f>VLOOKUP(B196,Punten!$C$3:$AD$224,26,0)</f>
        <v xml:space="preserve"> </v>
      </c>
      <c r="E196" s="104" t="str">
        <f>VLOOKUP(C196,Punten!$C$3:$AD$224,26,0)</f>
        <v xml:space="preserve"> </v>
      </c>
    </row>
    <row r="197" spans="1:5" ht="15" customHeight="1" x14ac:dyDescent="0.25">
      <c r="A197" s="96">
        <v>46146</v>
      </c>
      <c r="B197" s="98" t="s">
        <v>290</v>
      </c>
      <c r="C197" s="105" t="s">
        <v>13</v>
      </c>
      <c r="D197" s="104" t="str">
        <f>VLOOKUP(B197,Punten!$C$3:$AD$224,26,0)</f>
        <v xml:space="preserve"> </v>
      </c>
      <c r="E197" s="104" t="str">
        <f>VLOOKUP(C197,Punten!$C$3:$AD$224,26,0)</f>
        <v xml:space="preserve"> </v>
      </c>
    </row>
    <row r="198" spans="1:5" ht="15" customHeight="1" x14ac:dyDescent="0.25">
      <c r="A198" s="96">
        <v>46147</v>
      </c>
      <c r="B198" s="98" t="s">
        <v>8</v>
      </c>
      <c r="C198" s="98" t="s">
        <v>16</v>
      </c>
      <c r="D198" s="104" t="str">
        <f>VLOOKUP(B198,Punten!$C$3:$AD$224,26,0)</f>
        <v xml:space="preserve"> </v>
      </c>
      <c r="E198" s="104" t="str">
        <f>VLOOKUP(C198,Punten!$C$3:$AD$224,26,0)</f>
        <v xml:space="preserve"> </v>
      </c>
    </row>
    <row r="199" spans="1:5" ht="15" customHeight="1" x14ac:dyDescent="0.25">
      <c r="A199" s="96">
        <v>46147</v>
      </c>
      <c r="B199" s="98" t="s">
        <v>291</v>
      </c>
      <c r="C199" s="98" t="s">
        <v>10</v>
      </c>
      <c r="D199" s="104" t="str">
        <f>VLOOKUP(B199,Punten!$C$3:$AD$224,26,0)</f>
        <v xml:space="preserve"> </v>
      </c>
      <c r="E199" s="104" t="str">
        <f>VLOOKUP(C199,Punten!$C$3:$AD$224,26,0)</f>
        <v xml:space="preserve"> </v>
      </c>
    </row>
    <row r="200" spans="1:5" ht="15" customHeight="1" x14ac:dyDescent="0.25">
      <c r="A200" s="96">
        <v>46147</v>
      </c>
      <c r="B200" s="98" t="s">
        <v>9</v>
      </c>
      <c r="C200" s="98" t="s">
        <v>12</v>
      </c>
      <c r="D200" s="104" t="str">
        <f>VLOOKUP(B200,Punten!$C$3:$AD$224,26,0)</f>
        <v xml:space="preserve"> </v>
      </c>
      <c r="E200" s="104" t="str">
        <f>VLOOKUP(C200,Punten!$C$3:$AD$224,26,0)</f>
        <v xml:space="preserve"> </v>
      </c>
    </row>
    <row r="201" spans="1:5" ht="15" customHeight="1" x14ac:dyDescent="0.25">
      <c r="A201" s="96">
        <v>46148</v>
      </c>
      <c r="B201" s="98" t="s">
        <v>6</v>
      </c>
      <c r="C201" s="98" t="s">
        <v>14</v>
      </c>
      <c r="D201" s="104" t="str">
        <f>VLOOKUP(B201,Punten!$C$3:$AD$224,26,0)</f>
        <v xml:space="preserve"> </v>
      </c>
      <c r="E201" s="104" t="str">
        <f>VLOOKUP(C201,Punten!$C$3:$AD$224,26,0)</f>
        <v xml:space="preserve"> </v>
      </c>
    </row>
    <row r="202" spans="1:5" ht="7.9" customHeight="1" x14ac:dyDescent="0.25">
      <c r="A202" s="96"/>
      <c r="B202" s="98"/>
      <c r="C202" s="98"/>
      <c r="D202" s="104"/>
      <c r="E202" s="104"/>
    </row>
    <row r="203" spans="1:5" ht="15" customHeight="1" x14ac:dyDescent="0.25">
      <c r="A203" s="96">
        <v>46153</v>
      </c>
      <c r="B203" s="98" t="s">
        <v>15</v>
      </c>
      <c r="C203" s="98" t="s">
        <v>290</v>
      </c>
      <c r="D203" s="104" t="str">
        <f>VLOOKUP(B203,Punten!$C$3:$AD$224,27,0)</f>
        <v xml:space="preserve"> </v>
      </c>
      <c r="E203" s="104" t="str">
        <f>VLOOKUP(C203,Punten!$C$3:$AD$224,27,0)</f>
        <v xml:space="preserve"> </v>
      </c>
    </row>
    <row r="204" spans="1:5" ht="15" customHeight="1" x14ac:dyDescent="0.25">
      <c r="A204" s="96">
        <v>46153</v>
      </c>
      <c r="B204" s="98" t="s">
        <v>7</v>
      </c>
      <c r="C204" s="98" t="s">
        <v>16</v>
      </c>
      <c r="D204" s="104" t="str">
        <f>VLOOKUP(B204,Punten!$C$3:$AD$224,27,0)</f>
        <v xml:space="preserve"> </v>
      </c>
      <c r="E204" s="104" t="str">
        <f>VLOOKUP(C204,Punten!$C$3:$AD$224,27,0)</f>
        <v xml:space="preserve"> </v>
      </c>
    </row>
    <row r="205" spans="1:5" ht="15" customHeight="1" x14ac:dyDescent="0.25">
      <c r="A205" s="96">
        <v>46153</v>
      </c>
      <c r="B205" s="98" t="s">
        <v>14</v>
      </c>
      <c r="C205" s="98" t="s">
        <v>291</v>
      </c>
      <c r="D205" s="104" t="str">
        <f>VLOOKUP(B205,Punten!$C$3:$AD$224,27,0)</f>
        <v xml:space="preserve"> </v>
      </c>
      <c r="E205" s="104" t="str">
        <f>VLOOKUP(C205,Punten!$C$3:$AD$224,27,0)</f>
        <v xml:space="preserve"> </v>
      </c>
    </row>
    <row r="206" spans="1:5" ht="15" customHeight="1" x14ac:dyDescent="0.25">
      <c r="A206" s="118">
        <v>46154</v>
      </c>
      <c r="B206" s="121" t="s">
        <v>13</v>
      </c>
      <c r="C206" s="121" t="s">
        <v>11</v>
      </c>
      <c r="D206" s="104" t="str">
        <f>VLOOKUP(B206,Punten!$C$3:$AD$224,27,0)</f>
        <v xml:space="preserve"> </v>
      </c>
      <c r="E206" s="104" t="str">
        <f>VLOOKUP(C206,Punten!$C$3:$AD$224,27,0)</f>
        <v xml:space="preserve"> </v>
      </c>
    </row>
    <row r="207" spans="1:5" ht="15" customHeight="1" x14ac:dyDescent="0.25">
      <c r="A207" s="117">
        <v>46154</v>
      </c>
      <c r="B207" s="121" t="s">
        <v>10</v>
      </c>
      <c r="C207" s="121" t="s">
        <v>9</v>
      </c>
      <c r="D207" s="104" t="str">
        <f>VLOOKUP(B207,Punten!$C$3:$AD$224,27,0)</f>
        <v xml:space="preserve"> </v>
      </c>
      <c r="E207" s="104" t="str">
        <f>VLOOKUP(C207,Punten!$C$3:$AD$224,27,0)</f>
        <v xml:space="preserve"> </v>
      </c>
    </row>
    <row r="208" spans="1:5" ht="15" customHeight="1" x14ac:dyDescent="0.25">
      <c r="A208" s="96">
        <v>46155</v>
      </c>
      <c r="B208" s="98" t="s">
        <v>5</v>
      </c>
      <c r="C208" s="105" t="s">
        <v>6</v>
      </c>
      <c r="D208" s="104" t="str">
        <f>VLOOKUP(B208,Punten!$C$3:$AD$224,27,0)</f>
        <v xml:space="preserve"> </v>
      </c>
      <c r="E208" s="104" t="str">
        <f>VLOOKUP(C208,Punten!$C$3:$AD$224,27,0)</f>
        <v xml:space="preserve"> </v>
      </c>
    </row>
    <row r="209" spans="1:7" ht="15" customHeight="1" x14ac:dyDescent="0.25">
      <c r="A209" s="96">
        <v>46157</v>
      </c>
      <c r="B209" s="98" t="s">
        <v>12</v>
      </c>
      <c r="C209" s="98" t="s">
        <v>8</v>
      </c>
      <c r="D209" s="104" t="str">
        <f>VLOOKUP(B209,Punten!$C$3:$AD$224,27,0)</f>
        <v xml:space="preserve"> </v>
      </c>
      <c r="E209" s="104" t="str">
        <f>VLOOKUP(C209,Punten!$C$3:$AD$224,27,0)</f>
        <v xml:space="preserve"> </v>
      </c>
    </row>
    <row r="210" spans="1:7" ht="7.9" customHeight="1" x14ac:dyDescent="0.25">
      <c r="A210" s="96"/>
      <c r="B210" s="98"/>
      <c r="C210" s="98"/>
      <c r="D210" s="104"/>
      <c r="E210" s="104"/>
    </row>
    <row r="211" spans="1:7" ht="15" customHeight="1" x14ac:dyDescent="0.25">
      <c r="A211" s="96">
        <v>46160</v>
      </c>
      <c r="B211" s="98" t="s">
        <v>7</v>
      </c>
      <c r="C211" s="98" t="s">
        <v>12</v>
      </c>
      <c r="D211" s="104" t="str">
        <f>VLOOKUP(B211,Punten!$C$3:$AD$224,28,0)</f>
        <v xml:space="preserve"> </v>
      </c>
      <c r="E211" s="104" t="str">
        <f>VLOOKUP(C211,Punten!$C$3:$AD$224,28,0)</f>
        <v xml:space="preserve"> </v>
      </c>
    </row>
    <row r="212" spans="1:7" ht="15" customHeight="1" x14ac:dyDescent="0.25">
      <c r="A212" s="96">
        <v>46161</v>
      </c>
      <c r="B212" s="98" t="s">
        <v>9</v>
      </c>
      <c r="C212" s="98" t="s">
        <v>14</v>
      </c>
      <c r="D212" s="104" t="str">
        <f>VLOOKUP(B212,Punten!$C$3:$AD$224,28,0)</f>
        <v xml:space="preserve"> </v>
      </c>
      <c r="E212" s="104" t="str">
        <f>VLOOKUP(C212,Punten!$C$3:$AD$224,28,0)</f>
        <v xml:space="preserve"> </v>
      </c>
    </row>
    <row r="213" spans="1:7" ht="15" customHeight="1" x14ac:dyDescent="0.25">
      <c r="A213" s="96">
        <v>46161</v>
      </c>
      <c r="B213" s="105" t="s">
        <v>16</v>
      </c>
      <c r="C213" s="98" t="s">
        <v>15</v>
      </c>
      <c r="D213" s="104" t="str">
        <f>VLOOKUP(B213,Punten!$C$3:$AD$224,28,0)</f>
        <v xml:space="preserve"> </v>
      </c>
      <c r="E213" s="104" t="str">
        <f>VLOOKUP(C213,Punten!$C$3:$AD$224,28,0)</f>
        <v xml:space="preserve"> </v>
      </c>
    </row>
    <row r="214" spans="1:7" ht="15" customHeight="1" x14ac:dyDescent="0.25">
      <c r="A214" s="97">
        <v>46161</v>
      </c>
      <c r="B214" s="98" t="s">
        <v>291</v>
      </c>
      <c r="C214" s="98" t="s">
        <v>5</v>
      </c>
      <c r="D214" s="104" t="str">
        <f>VLOOKUP(B214,Punten!$C$3:$AD$224,28,0)</f>
        <v xml:space="preserve"> </v>
      </c>
      <c r="E214" s="104" t="str">
        <f>VLOOKUP(C214,Punten!$C$3:$AD$224,28,0)</f>
        <v xml:space="preserve"> </v>
      </c>
    </row>
    <row r="215" spans="1:7" x14ac:dyDescent="0.25">
      <c r="A215" s="96">
        <v>46161</v>
      </c>
      <c r="B215" s="98" t="s">
        <v>8</v>
      </c>
      <c r="C215" s="98" t="s">
        <v>10</v>
      </c>
      <c r="D215" s="104" t="str">
        <f>VLOOKUP(B215,Punten!$C$3:$AD$224,28,0)</f>
        <v xml:space="preserve"> </v>
      </c>
      <c r="E215" s="104" t="str">
        <f>VLOOKUP(C215,Punten!$C$3:$AD$224,28,0)</f>
        <v xml:space="preserve"> </v>
      </c>
    </row>
    <row r="216" spans="1:7" x14ac:dyDescent="0.25">
      <c r="A216" s="96">
        <v>46162</v>
      </c>
      <c r="B216" s="98" t="s">
        <v>6</v>
      </c>
      <c r="C216" s="98" t="s">
        <v>13</v>
      </c>
      <c r="D216" s="104" t="str">
        <f>VLOOKUP(B216,Punten!$C$3:$AD$224,28,0)</f>
        <v xml:space="preserve"> </v>
      </c>
      <c r="E216" s="104" t="str">
        <f>VLOOKUP(C216,Punten!$C$3:$AD$224,28,0)</f>
        <v xml:space="preserve"> </v>
      </c>
    </row>
    <row r="217" spans="1:7" x14ac:dyDescent="0.25">
      <c r="A217" s="96">
        <v>46163</v>
      </c>
      <c r="B217" s="98" t="s">
        <v>11</v>
      </c>
      <c r="C217" s="98" t="s">
        <v>290</v>
      </c>
      <c r="D217" s="104" t="str">
        <f>VLOOKUP(B217,Punten!$C$3:$AD$224,28,0)</f>
        <v xml:space="preserve"> </v>
      </c>
      <c r="E217" s="104" t="str">
        <f>VLOOKUP(C217,Punten!$C$3:$AD$224,28,0)</f>
        <v xml:space="preserve"> </v>
      </c>
    </row>
    <row r="218" spans="1:7" s="61" customFormat="1" ht="15.6" customHeight="1" x14ac:dyDescent="0.25">
      <c r="A218" s="293" t="s">
        <v>319</v>
      </c>
      <c r="B218" s="287"/>
      <c r="C218" s="169" t="s">
        <v>346</v>
      </c>
      <c r="E218" s="62"/>
      <c r="F218" s="62"/>
      <c r="G218" s="62"/>
    </row>
    <row r="219" spans="1:7" x14ac:dyDescent="0.25">
      <c r="A219" s="291" t="s">
        <v>350</v>
      </c>
      <c r="B219" s="292"/>
      <c r="C219" s="292"/>
      <c r="D219" s="292"/>
      <c r="E219" s="292"/>
    </row>
    <row r="220" spans="1:7" x14ac:dyDescent="0.25">
      <c r="A220" s="96"/>
      <c r="B220" s="98"/>
      <c r="C220" s="98"/>
      <c r="D220" s="104"/>
      <c r="E220" s="104"/>
    </row>
    <row r="221" spans="1:7" x14ac:dyDescent="0.25">
      <c r="A221" s="96"/>
      <c r="B221" s="98"/>
      <c r="C221" s="98"/>
      <c r="D221" s="104"/>
      <c r="E221" s="104"/>
    </row>
    <row r="222" spans="1:7" x14ac:dyDescent="0.25">
      <c r="A222" s="96"/>
      <c r="B222" s="98"/>
      <c r="C222" s="98"/>
      <c r="D222" s="104"/>
      <c r="E222" s="104"/>
    </row>
    <row r="223" spans="1:7" x14ac:dyDescent="0.25">
      <c r="A223" s="96"/>
      <c r="B223" s="110"/>
      <c r="C223" s="110"/>
      <c r="D223" s="108"/>
      <c r="E223" s="108"/>
    </row>
    <row r="224" spans="1:7" x14ac:dyDescent="0.25">
      <c r="A224" s="96"/>
      <c r="B224" s="110"/>
      <c r="C224" s="110"/>
      <c r="D224" s="108"/>
      <c r="E224" s="108"/>
    </row>
    <row r="225" spans="1:5" x14ac:dyDescent="0.25">
      <c r="A225" s="96"/>
      <c r="B225" s="98"/>
      <c r="C225" s="110"/>
      <c r="D225" s="108"/>
      <c r="E225" s="108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Y27" sqref="Y27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8" width="3.710937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22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48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>
        <v>17</v>
      </c>
      <c r="V4" s="161">
        <v>28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45</v>
      </c>
      <c r="AI4" s="8">
        <f>COUNTIF(U4:AG4,"&gt;0")</f>
        <v>2</v>
      </c>
      <c r="AJ4" s="94">
        <f>IF(AH4=0," ",AH4/AI4)</f>
        <v>22.5</v>
      </c>
      <c r="AK4" s="77"/>
      <c r="AL4" s="122">
        <f t="shared" ref="AL4" si="0">P4+AH4</f>
        <v>179</v>
      </c>
      <c r="AM4" s="123">
        <f t="shared" ref="AM4" si="1">Q4+AI4</f>
        <v>8</v>
      </c>
      <c r="AN4" s="8">
        <f>IF(AL4=0," ",AL4/AM4)</f>
        <v>22.375</v>
      </c>
      <c r="AO4" s="94">
        <f>IF(AL4=0," ",AL4/(AM4*T4)*100)</f>
        <v>117.76315789473684</v>
      </c>
    </row>
    <row r="5" spans="1:41" s="10" customFormat="1" ht="20.100000000000001" customHeight="1" x14ac:dyDescent="0.25">
      <c r="A5" s="26" t="s">
        <v>285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11">
        <f t="shared" ref="R5:R18" si="4">IF(P5=0," ",P5/Q5)</f>
        <v>33.4</v>
      </c>
      <c r="S5" s="12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11">
        <f t="shared" ref="AN5:AN18" si="11">IF(AL5=0," ",AL5/AM5)</f>
        <v>33.4</v>
      </c>
      <c r="AO5" s="12">
        <f t="shared" ref="AO5:AO18" si="12">IF(AL5=0," ",AL5/(AM5*T5)*100)</f>
        <v>95.428571428571431</v>
      </c>
    </row>
    <row r="6" spans="1:41" s="10" customFormat="1" ht="20.100000000000001" customHeight="1" x14ac:dyDescent="0.25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25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11">
        <f t="shared" si="4"/>
        <v>25.222222222222221</v>
      </c>
      <c r="S7" s="12">
        <f t="shared" si="5"/>
        <v>97.008547008547012</v>
      </c>
      <c r="T7" s="70">
        <v>26</v>
      </c>
      <c r="U7" s="163">
        <v>33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33</v>
      </c>
      <c r="AI7" s="11">
        <f t="shared" si="7"/>
        <v>1</v>
      </c>
      <c r="AJ7" s="12">
        <f t="shared" si="8"/>
        <v>33</v>
      </c>
      <c r="AK7" s="77"/>
      <c r="AL7" s="124">
        <f t="shared" si="9"/>
        <v>260</v>
      </c>
      <c r="AM7" s="95">
        <f t="shared" si="10"/>
        <v>10</v>
      </c>
      <c r="AN7" s="11">
        <f t="shared" si="11"/>
        <v>26</v>
      </c>
      <c r="AO7" s="12">
        <f t="shared" si="12"/>
        <v>100</v>
      </c>
    </row>
    <row r="8" spans="1:41" s="10" customFormat="1" ht="20.100000000000001" customHeight="1" x14ac:dyDescent="0.25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11">
        <f t="shared" si="4"/>
        <v>38.625</v>
      </c>
      <c r="S8" s="12">
        <f t="shared" si="5"/>
        <v>80.46875</v>
      </c>
      <c r="T8" s="70">
        <v>48</v>
      </c>
      <c r="U8" s="163"/>
      <c r="V8" s="164">
        <v>31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31</v>
      </c>
      <c r="AI8" s="11">
        <f t="shared" si="7"/>
        <v>1</v>
      </c>
      <c r="AJ8" s="12">
        <f t="shared" si="8"/>
        <v>31</v>
      </c>
      <c r="AK8" s="77"/>
      <c r="AL8" s="124">
        <f t="shared" si="9"/>
        <v>340</v>
      </c>
      <c r="AM8" s="95">
        <f t="shared" si="10"/>
        <v>9</v>
      </c>
      <c r="AN8" s="11">
        <f t="shared" si="11"/>
        <v>37.777777777777779</v>
      </c>
      <c r="AO8" s="12">
        <f t="shared" si="12"/>
        <v>78.703703703703709</v>
      </c>
    </row>
    <row r="9" spans="1:41" s="10" customFormat="1" ht="20.100000000000001" customHeight="1" x14ac:dyDescent="0.25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>
        <v>25</v>
      </c>
      <c r="V9" s="164">
        <v>24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49</v>
      </c>
      <c r="AI9" s="11">
        <f t="shared" si="7"/>
        <v>2</v>
      </c>
      <c r="AJ9" s="12">
        <f t="shared" si="8"/>
        <v>24.5</v>
      </c>
      <c r="AK9" s="77"/>
      <c r="AL9" s="124">
        <f t="shared" si="9"/>
        <v>169</v>
      </c>
      <c r="AM9" s="95">
        <f t="shared" si="10"/>
        <v>8</v>
      </c>
      <c r="AN9" s="11">
        <f t="shared" si="11"/>
        <v>21.125</v>
      </c>
      <c r="AO9" s="12">
        <f t="shared" si="12"/>
        <v>84.5</v>
      </c>
    </row>
    <row r="10" spans="1:41" s="10" customFormat="1" ht="20.100000000000001" customHeight="1" x14ac:dyDescent="0.25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11">
        <f t="shared" si="4"/>
        <v>14.75</v>
      </c>
      <c r="S10" s="12">
        <f t="shared" si="5"/>
        <v>98.333333333333329</v>
      </c>
      <c r="T10" s="70">
        <v>15</v>
      </c>
      <c r="U10" s="163"/>
      <c r="V10" s="164">
        <v>12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12</v>
      </c>
      <c r="AI10" s="11">
        <f t="shared" si="7"/>
        <v>1</v>
      </c>
      <c r="AJ10" s="12">
        <f t="shared" si="8"/>
        <v>12</v>
      </c>
      <c r="AK10" s="77"/>
      <c r="AL10" s="124">
        <f t="shared" si="9"/>
        <v>130</v>
      </c>
      <c r="AM10" s="95">
        <f t="shared" si="10"/>
        <v>9</v>
      </c>
      <c r="AN10" s="11">
        <f t="shared" si="11"/>
        <v>14.444444444444445</v>
      </c>
      <c r="AO10" s="12">
        <f t="shared" si="12"/>
        <v>96.296296296296291</v>
      </c>
    </row>
    <row r="11" spans="1:41" s="10" customFormat="1" ht="20.100000000000001" customHeight="1" x14ac:dyDescent="0.25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11">
        <f t="shared" si="4"/>
        <v>25</v>
      </c>
      <c r="S11" s="12">
        <f t="shared" si="5"/>
        <v>89.285714285714292</v>
      </c>
      <c r="T11" s="70">
        <v>28</v>
      </c>
      <c r="U11" s="163"/>
      <c r="V11" s="164">
        <v>21</v>
      </c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21</v>
      </c>
      <c r="AI11" s="11">
        <f t="shared" si="7"/>
        <v>1</v>
      </c>
      <c r="AJ11" s="12">
        <f t="shared" si="8"/>
        <v>21</v>
      </c>
      <c r="AK11" s="77"/>
      <c r="AL11" s="124">
        <f t="shared" si="9"/>
        <v>221</v>
      </c>
      <c r="AM11" s="95">
        <f t="shared" si="10"/>
        <v>9</v>
      </c>
      <c r="AN11" s="11">
        <f t="shared" si="11"/>
        <v>24.555555555555557</v>
      </c>
      <c r="AO11" s="12">
        <f t="shared" si="12"/>
        <v>87.698412698412696</v>
      </c>
    </row>
    <row r="12" spans="1:41" s="10" customFormat="1" ht="20.100000000000001" customHeight="1" x14ac:dyDescent="0.25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>
        <v>29</v>
      </c>
      <c r="V12" s="164">
        <v>24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53</v>
      </c>
      <c r="AI12" s="11">
        <f t="shared" si="7"/>
        <v>2</v>
      </c>
      <c r="AJ12" s="12">
        <f t="shared" si="8"/>
        <v>26.5</v>
      </c>
      <c r="AK12" s="77"/>
      <c r="AL12" s="124">
        <f t="shared" si="9"/>
        <v>298</v>
      </c>
      <c r="AM12" s="95">
        <f t="shared" si="10"/>
        <v>12</v>
      </c>
      <c r="AN12" s="11">
        <f t="shared" si="11"/>
        <v>24.833333333333332</v>
      </c>
      <c r="AO12" s="12">
        <f t="shared" si="12"/>
        <v>99.333333333333329</v>
      </c>
    </row>
    <row r="13" spans="1:41" s="10" customFormat="1" ht="20.100000000000001" customHeight="1" x14ac:dyDescent="0.25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11">
        <f t="shared" si="4"/>
        <v>27.125</v>
      </c>
      <c r="S13" s="12">
        <f t="shared" si="5"/>
        <v>93.534482758620683</v>
      </c>
      <c r="T13" s="70">
        <v>29</v>
      </c>
      <c r="U13" s="163">
        <v>31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31</v>
      </c>
      <c r="AI13" s="11">
        <f t="shared" si="7"/>
        <v>1</v>
      </c>
      <c r="AJ13" s="12">
        <f t="shared" si="8"/>
        <v>31</v>
      </c>
      <c r="AK13" s="77"/>
      <c r="AL13" s="124">
        <f t="shared" si="9"/>
        <v>248</v>
      </c>
      <c r="AM13" s="95">
        <f t="shared" si="10"/>
        <v>9</v>
      </c>
      <c r="AN13" s="11">
        <f t="shared" si="11"/>
        <v>27.555555555555557</v>
      </c>
      <c r="AO13" s="12">
        <f t="shared" si="12"/>
        <v>95.019157088122611</v>
      </c>
    </row>
    <row r="14" spans="1:41" s="10" customFormat="1" ht="20.100000000000001" customHeight="1" x14ac:dyDescent="0.25">
      <c r="A14" s="26" t="s">
        <v>337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25">
      <c r="A15" s="26" t="s">
        <v>335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>
        <v>16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16</v>
      </c>
      <c r="AI15" s="11">
        <f t="shared" si="7"/>
        <v>1</v>
      </c>
      <c r="AJ15" s="12">
        <f t="shared" si="8"/>
        <v>16</v>
      </c>
      <c r="AK15" s="77"/>
      <c r="AL15" s="124">
        <f t="shared" si="9"/>
        <v>245</v>
      </c>
      <c r="AM15" s="95">
        <f t="shared" si="10"/>
        <v>9</v>
      </c>
      <c r="AN15" s="11">
        <f t="shared" si="11"/>
        <v>27.222222222222221</v>
      </c>
      <c r="AO15" s="12">
        <f t="shared" si="12"/>
        <v>90.740740740740748</v>
      </c>
    </row>
    <row r="16" spans="1:41" s="10" customFormat="1" ht="20.100000000000001" customHeight="1" x14ac:dyDescent="0.25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25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177</v>
      </c>
      <c r="P19" s="19">
        <f t="shared" si="14"/>
        <v>2032</v>
      </c>
      <c r="Q19" s="19">
        <f t="shared" si="14"/>
        <v>78</v>
      </c>
      <c r="R19" s="19">
        <f>P19/Q19</f>
        <v>26.051282051282051</v>
      </c>
      <c r="S19" s="22"/>
      <c r="T19" s="179">
        <f t="shared" ref="T19:AI19" si="15">SUM(T4:T18)</f>
        <v>330</v>
      </c>
      <c r="U19" s="21">
        <f t="shared" si="15"/>
        <v>151</v>
      </c>
      <c r="V19" s="19">
        <f t="shared" si="15"/>
        <v>140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291</v>
      </c>
      <c r="AI19" s="18">
        <f t="shared" si="15"/>
        <v>12</v>
      </c>
      <c r="AJ19" s="23">
        <f>AH19/AI19</f>
        <v>24.25</v>
      </c>
      <c r="AK19" s="78"/>
      <c r="AL19" s="24">
        <f>SUM(AL4:AL18)</f>
        <v>2323</v>
      </c>
      <c r="AM19" s="18">
        <f>SUM(AM4:AM18)</f>
        <v>90</v>
      </c>
      <c r="AN19" s="18">
        <f t="shared" ref="AN19" si="16">AL19/AM19</f>
        <v>25.81111111111111</v>
      </c>
      <c r="AO19" s="20"/>
    </row>
    <row r="24" spans="1:41" x14ac:dyDescent="0.25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82" priority="12" operator="equal">
      <formula>0</formula>
    </cfRule>
  </conditionalFormatting>
  <conditionalFormatting sqref="A19 C19:S19 U19:AO19">
    <cfRule type="containsErrors" dxfId="81" priority="14">
      <formula>ISERROR(A19)</formula>
    </cfRule>
  </conditionalFormatting>
  <conditionalFormatting sqref="B4:B19">
    <cfRule type="cellIs" dxfId="80" priority="11" operator="equal">
      <formula>0</formula>
    </cfRule>
  </conditionalFormatting>
  <conditionalFormatting sqref="P4:S18 C19:S19">
    <cfRule type="cellIs" dxfId="79" priority="7" operator="equal">
      <formula>0</formula>
    </cfRule>
  </conditionalFormatting>
  <conditionalFormatting sqref="T4:T19">
    <cfRule type="cellIs" dxfId="78" priority="1" operator="equal">
      <formula>0</formula>
    </cfRule>
  </conditionalFormatting>
  <conditionalFormatting sqref="AH4:AO18 U19:AO19">
    <cfRule type="cellIs" dxfId="77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110" zoomScaleNormal="110" workbookViewId="0">
      <selection activeCell="V10" sqref="V10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28" t="s">
        <v>60</v>
      </c>
      <c r="B2" s="330" t="s">
        <v>42</v>
      </c>
      <c r="C2" s="312" t="s">
        <v>61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62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29"/>
      <c r="B3" s="331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32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5"/>
      <c r="AI3" s="326"/>
      <c r="AJ3" s="327"/>
      <c r="AK3" s="76"/>
      <c r="AL3" s="325"/>
      <c r="AM3" s="326"/>
      <c r="AN3" s="326"/>
      <c r="AO3" s="327"/>
    </row>
    <row r="4" spans="1:41" s="10" customFormat="1" ht="20.100000000000001" customHeight="1" x14ac:dyDescent="0.25">
      <c r="A4" s="177" t="s">
        <v>306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8">
        <f>IF(P4=0," ",P4/Q4)</f>
        <v>32.5</v>
      </c>
      <c r="S4" s="94">
        <f>IF(P4=0," ",P4/(Q4*B4)*100)</f>
        <v>104.83870967741935</v>
      </c>
      <c r="T4" s="70">
        <v>31</v>
      </c>
      <c r="U4" s="160">
        <v>32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32</v>
      </c>
      <c r="AI4" s="8">
        <f>COUNTIF(U4:AG4,"&gt;0")</f>
        <v>1</v>
      </c>
      <c r="AJ4" s="94">
        <f>IF(AH4=0," ",AH4/AI4)</f>
        <v>32</v>
      </c>
      <c r="AK4" s="77"/>
      <c r="AL4" s="122">
        <f t="shared" ref="AL4" si="0">P4+AH4</f>
        <v>227</v>
      </c>
      <c r="AM4" s="123">
        <f t="shared" ref="AM4" si="1">Q4+AI4</f>
        <v>7</v>
      </c>
      <c r="AN4" s="8">
        <f>IF(AL4=0," ",AL4/AM4)</f>
        <v>32.428571428571431</v>
      </c>
      <c r="AO4" s="94">
        <f>IF(AL4=0," ",AL4/(AM4*T4)*100)</f>
        <v>104.60829493087557</v>
      </c>
    </row>
    <row r="5" spans="1:41" s="10" customFormat="1" ht="20.100000000000001" customHeight="1" x14ac:dyDescent="0.25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>
        <v>71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71</v>
      </c>
      <c r="AI5" s="11">
        <f t="shared" ref="AI5:AI18" si="7">COUNTIF(U5:AG5,"&gt;0")</f>
        <v>1</v>
      </c>
      <c r="AJ5" s="12">
        <f t="shared" ref="AJ5:AJ18" si="8">IF(AH5=0," ",AH5/AI5)</f>
        <v>71</v>
      </c>
      <c r="AK5" s="77"/>
      <c r="AL5" s="124">
        <f t="shared" ref="AL5:AL18" si="9">P5+AH5</f>
        <v>290</v>
      </c>
      <c r="AM5" s="95">
        <f t="shared" ref="AM5:AM18" si="10">Q5+AI5</f>
        <v>5</v>
      </c>
      <c r="AN5" s="11">
        <f t="shared" ref="AN5:AN18" si="11">IF(AL5=0," ",AL5/AM5)</f>
        <v>58</v>
      </c>
      <c r="AO5" s="12">
        <f t="shared" ref="AO5:AO18" si="12">IF(AL5=0," ",AL5/(AM5*T5)*100)</f>
        <v>111.53846153846155</v>
      </c>
    </row>
    <row r="6" spans="1:41" s="10" customFormat="1" ht="20.100000000000001" customHeight="1" x14ac:dyDescent="0.25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3</v>
      </c>
      <c r="AN6" s="11">
        <f t="shared" si="11"/>
        <v>36.333333333333336</v>
      </c>
      <c r="AO6" s="12">
        <f t="shared" si="12"/>
        <v>86.507936507936506</v>
      </c>
    </row>
    <row r="7" spans="1:41" s="10" customFormat="1" ht="20.100000000000001" customHeight="1" x14ac:dyDescent="0.25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25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>
        <v>16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16</v>
      </c>
      <c r="AI8" s="11">
        <f t="shared" si="7"/>
        <v>1</v>
      </c>
      <c r="AJ8" s="12">
        <f t="shared" si="8"/>
        <v>16</v>
      </c>
      <c r="AK8" s="77"/>
      <c r="AL8" s="124">
        <f t="shared" si="9"/>
        <v>91</v>
      </c>
      <c r="AM8" s="95">
        <f t="shared" si="10"/>
        <v>4</v>
      </c>
      <c r="AN8" s="11">
        <f t="shared" si="11"/>
        <v>22.75</v>
      </c>
      <c r="AO8" s="12">
        <f t="shared" si="12"/>
        <v>91</v>
      </c>
    </row>
    <row r="9" spans="1:41" s="10" customFormat="1" ht="20.100000000000001" customHeight="1" x14ac:dyDescent="0.25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>
        <v>13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13</v>
      </c>
      <c r="AI9" s="11">
        <f t="shared" si="7"/>
        <v>1</v>
      </c>
      <c r="AJ9" s="12">
        <f t="shared" si="8"/>
        <v>13</v>
      </c>
      <c r="AK9" s="77"/>
      <c r="AL9" s="124">
        <f t="shared" si="9"/>
        <v>369</v>
      </c>
      <c r="AM9" s="95">
        <f t="shared" si="10"/>
        <v>8</v>
      </c>
      <c r="AN9" s="11">
        <f t="shared" si="11"/>
        <v>46.125</v>
      </c>
      <c r="AO9" s="12">
        <f t="shared" si="12"/>
        <v>87.028301886792448</v>
      </c>
    </row>
    <row r="10" spans="1:41" s="10" customFormat="1" ht="20.100000000000001" customHeight="1" x14ac:dyDescent="0.25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11">
        <f t="shared" si="4"/>
        <v>44</v>
      </c>
      <c r="S10" s="12">
        <f t="shared" si="5"/>
        <v>86.274509803921575</v>
      </c>
      <c r="T10" s="70">
        <v>51</v>
      </c>
      <c r="U10" s="163">
        <v>72</v>
      </c>
      <c r="V10" s="164">
        <v>44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116</v>
      </c>
      <c r="AI10" s="11">
        <f t="shared" si="7"/>
        <v>2</v>
      </c>
      <c r="AJ10" s="12">
        <f t="shared" si="8"/>
        <v>58</v>
      </c>
      <c r="AK10" s="77"/>
      <c r="AL10" s="124">
        <f t="shared" si="9"/>
        <v>380</v>
      </c>
      <c r="AM10" s="95">
        <f t="shared" si="10"/>
        <v>8</v>
      </c>
      <c r="AN10" s="11">
        <f t="shared" si="11"/>
        <v>47.5</v>
      </c>
      <c r="AO10" s="12">
        <f t="shared" si="12"/>
        <v>93.137254901960787</v>
      </c>
    </row>
    <row r="11" spans="1:41" s="10" customFormat="1" ht="20.100000000000001" customHeight="1" x14ac:dyDescent="0.25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25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11">
        <f t="shared" si="4"/>
        <v>73.2</v>
      </c>
      <c r="S12" s="12">
        <f t="shared" si="5"/>
        <v>81.333333333333329</v>
      </c>
      <c r="T12" s="70">
        <v>90</v>
      </c>
      <c r="U12" s="163"/>
      <c r="V12" s="164">
        <v>61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61</v>
      </c>
      <c r="AI12" s="11">
        <f t="shared" si="7"/>
        <v>1</v>
      </c>
      <c r="AJ12" s="12">
        <f t="shared" si="8"/>
        <v>61</v>
      </c>
      <c r="AK12" s="77"/>
      <c r="AL12" s="124">
        <f t="shared" si="9"/>
        <v>793</v>
      </c>
      <c r="AM12" s="95">
        <f t="shared" si="10"/>
        <v>11</v>
      </c>
      <c r="AN12" s="11">
        <f t="shared" si="11"/>
        <v>72.090909090909093</v>
      </c>
      <c r="AO12" s="12">
        <f t="shared" si="12"/>
        <v>80.101010101010104</v>
      </c>
    </row>
    <row r="13" spans="1:41" s="10" customFormat="1" ht="20.100000000000001" customHeight="1" x14ac:dyDescent="0.25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11">
        <f t="shared" si="4"/>
        <v>26.857142857142858</v>
      </c>
      <c r="S13" s="12">
        <f t="shared" si="5"/>
        <v>103.29670329670331</v>
      </c>
      <c r="T13" s="70">
        <v>26</v>
      </c>
      <c r="U13" s="163"/>
      <c r="V13" s="164">
        <v>39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39</v>
      </c>
      <c r="AI13" s="11">
        <f t="shared" si="7"/>
        <v>1</v>
      </c>
      <c r="AJ13" s="12">
        <f t="shared" si="8"/>
        <v>39</v>
      </c>
      <c r="AK13" s="77"/>
      <c r="AL13" s="124">
        <f t="shared" si="9"/>
        <v>227</v>
      </c>
      <c r="AM13" s="95">
        <f t="shared" si="10"/>
        <v>8</v>
      </c>
      <c r="AN13" s="11">
        <f t="shared" si="11"/>
        <v>28.375</v>
      </c>
      <c r="AO13" s="12">
        <f t="shared" si="12"/>
        <v>109.13461538461537</v>
      </c>
    </row>
    <row r="14" spans="1:41" s="10" customFormat="1" ht="20.100000000000001" customHeight="1" x14ac:dyDescent="0.25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11">
        <f t="shared" si="4"/>
        <v>43.111111111111114</v>
      </c>
      <c r="S14" s="12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11">
        <f t="shared" si="11"/>
        <v>43.111111111111114</v>
      </c>
      <c r="AO14" s="12">
        <f t="shared" si="12"/>
        <v>84.531590413943363</v>
      </c>
    </row>
    <row r="15" spans="1:41" s="10" customFormat="1" ht="20.100000000000001" customHeight="1" x14ac:dyDescent="0.25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>
        <v>30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30</v>
      </c>
      <c r="AI15" s="11">
        <f t="shared" si="7"/>
        <v>1</v>
      </c>
      <c r="AJ15" s="12">
        <f t="shared" si="8"/>
        <v>30</v>
      </c>
      <c r="AK15" s="77"/>
      <c r="AL15" s="124">
        <f t="shared" si="9"/>
        <v>220</v>
      </c>
      <c r="AM15" s="95">
        <f t="shared" si="10"/>
        <v>7</v>
      </c>
      <c r="AN15" s="11">
        <f t="shared" si="11"/>
        <v>31.428571428571427</v>
      </c>
      <c r="AO15" s="12">
        <f t="shared" si="12"/>
        <v>95.238095238095227</v>
      </c>
    </row>
    <row r="16" spans="1:41" s="10" customFormat="1" ht="20.100000000000001" customHeight="1" x14ac:dyDescent="0.25">
      <c r="A16" s="275" t="s">
        <v>371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11">
        <f t="shared" si="4"/>
        <v>15.5</v>
      </c>
      <c r="S16" s="12">
        <f t="shared" si="5"/>
        <v>103.33333333333334</v>
      </c>
      <c r="T16" s="276">
        <v>16</v>
      </c>
      <c r="U16" s="163">
        <v>19</v>
      </c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19</v>
      </c>
      <c r="AI16" s="11">
        <f t="shared" si="7"/>
        <v>1</v>
      </c>
      <c r="AJ16" s="12">
        <f t="shared" si="8"/>
        <v>19</v>
      </c>
      <c r="AK16" s="77"/>
      <c r="AL16" s="124">
        <f t="shared" si="9"/>
        <v>81</v>
      </c>
      <c r="AM16" s="95">
        <f t="shared" si="10"/>
        <v>5</v>
      </c>
      <c r="AN16" s="11">
        <f t="shared" si="11"/>
        <v>16.2</v>
      </c>
      <c r="AO16" s="12">
        <f t="shared" si="12"/>
        <v>101.25</v>
      </c>
    </row>
    <row r="17" spans="1:41" s="10" customFormat="1" ht="20.100000000000001" customHeight="1" x14ac:dyDescent="0.25">
      <c r="A17" s="26" t="s">
        <v>347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276">
        <v>51</v>
      </c>
      <c r="U17" s="163">
        <v>44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7"/>
      <c r="AL17" s="124">
        <f t="shared" si="9"/>
        <v>349</v>
      </c>
      <c r="AM17" s="95">
        <f t="shared" si="10"/>
        <v>7</v>
      </c>
      <c r="AN17" s="11">
        <f t="shared" si="11"/>
        <v>49.857142857142854</v>
      </c>
      <c r="AO17" s="12">
        <f t="shared" si="12"/>
        <v>97.759103641456576</v>
      </c>
    </row>
    <row r="18" spans="1:41" s="10" customFormat="1" ht="20.100000000000001" customHeight="1" thickBot="1" x14ac:dyDescent="0.3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>
        <v>13</v>
      </c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13</v>
      </c>
      <c r="AI18" s="14">
        <f t="shared" si="7"/>
        <v>1</v>
      </c>
      <c r="AJ18" s="15">
        <f t="shared" si="8"/>
        <v>13</v>
      </c>
      <c r="AK18" s="77"/>
      <c r="AL18" s="125">
        <f t="shared" si="9"/>
        <v>55</v>
      </c>
      <c r="AM18" s="126">
        <f t="shared" si="10"/>
        <v>2</v>
      </c>
      <c r="AN18" s="14">
        <f t="shared" si="11"/>
        <v>27.5</v>
      </c>
      <c r="AO18" s="15">
        <f t="shared" si="12"/>
        <v>88.709677419354833</v>
      </c>
    </row>
    <row r="19" spans="1:41" s="25" customFormat="1" ht="20.100000000000001" customHeight="1" thickBot="1" x14ac:dyDescent="0.3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238</v>
      </c>
      <c r="P19" s="19">
        <f t="shared" ref="P19:Q19" si="14">SUM(P4:P17)</f>
        <v>3209</v>
      </c>
      <c r="Q19" s="19">
        <f t="shared" si="14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441</v>
      </c>
      <c r="AI19" s="18">
        <f t="shared" si="15"/>
        <v>12</v>
      </c>
      <c r="AJ19" s="23">
        <f t="shared" si="15"/>
        <v>396</v>
      </c>
      <c r="AK19" s="78"/>
      <c r="AL19" s="24">
        <f>SUM(AL4:AL18)</f>
        <v>3705</v>
      </c>
      <c r="AM19" s="18">
        <f>SUM(AM4:AM18)</f>
        <v>90</v>
      </c>
      <c r="AN19" s="18">
        <f t="shared" ref="AN19" si="17">AL19/AM19</f>
        <v>41.166666666666664</v>
      </c>
      <c r="AO19" s="20"/>
    </row>
    <row r="24" spans="1:41" x14ac:dyDescent="0.25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7"/>
  <sheetViews>
    <sheetView showGridLines="0" showRowColHeaders="0" zoomScaleNormal="100" workbookViewId="0">
      <selection activeCell="AB27" sqref="AB27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28" t="s">
        <v>75</v>
      </c>
      <c r="B2" s="310" t="s">
        <v>42</v>
      </c>
      <c r="C2" s="312" t="s">
        <v>76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77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29"/>
      <c r="B3" s="311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8">
        <f>IF(P4=0," ",P4/Q4)</f>
        <v>32.444444444444443</v>
      </c>
      <c r="S4" s="94">
        <f>IF(P4=0," ",P4/(Q4*B4)*100)</f>
        <v>101.38888888888889</v>
      </c>
      <c r="T4" s="71">
        <v>32</v>
      </c>
      <c r="U4" s="160">
        <v>37</v>
      </c>
      <c r="V4" s="161">
        <v>41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78</v>
      </c>
      <c r="AI4" s="8">
        <f>COUNTIF(U4:AG4,"&gt;0")</f>
        <v>2</v>
      </c>
      <c r="AJ4" s="94">
        <f>IF(AH4=0," ",AH4/AI4)</f>
        <v>39</v>
      </c>
      <c r="AK4" s="77"/>
      <c r="AL4" s="122">
        <f t="shared" ref="AL4" si="0">P4+AH4</f>
        <v>370</v>
      </c>
      <c r="AM4" s="123">
        <f t="shared" ref="AM4" si="1">Q4+AI4</f>
        <v>11</v>
      </c>
      <c r="AN4" s="8">
        <f>IF(AL4=0," ",AL4/AM4)</f>
        <v>33.636363636363633</v>
      </c>
      <c r="AO4" s="94">
        <f>IF(AL4=0," ",AL4/(AM4*T4)*100)</f>
        <v>105.11363636363636</v>
      </c>
    </row>
    <row r="5" spans="1:41" s="10" customFormat="1" ht="20.100000000000001" customHeight="1" x14ac:dyDescent="0.25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11">
        <f t="shared" ref="R5:R18" si="4">IF(P5=0," ",P5/Q5)</f>
        <v>13</v>
      </c>
      <c r="S5" s="12">
        <f t="shared" ref="S5:S18" si="5">IF(P5=0," ",P5/(Q5*B5)*100)</f>
        <v>72.222222222222214</v>
      </c>
      <c r="T5" s="70">
        <v>18</v>
      </c>
      <c r="U5" s="163">
        <v>28</v>
      </c>
      <c r="V5" s="164">
        <v>13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41</v>
      </c>
      <c r="AI5" s="11">
        <f t="shared" ref="AI5:AI18" si="7">COUNTIF(U5:AG5,"&gt;0")</f>
        <v>2</v>
      </c>
      <c r="AJ5" s="12">
        <f t="shared" ref="AJ5:AJ18" si="8">IF(AH5=0," ",AH5/AI5)</f>
        <v>20.5</v>
      </c>
      <c r="AK5" s="77"/>
      <c r="AL5" s="124">
        <f t="shared" ref="AL5:AL18" si="9">P5+AH5</f>
        <v>158</v>
      </c>
      <c r="AM5" s="95">
        <f t="shared" ref="AM5:AM18" si="10">Q5+AI5</f>
        <v>11</v>
      </c>
      <c r="AN5" s="11">
        <f t="shared" ref="AN5:AN18" si="11">IF(AL5=0," ",AL5/AM5)</f>
        <v>14.363636363636363</v>
      </c>
      <c r="AO5" s="12">
        <f t="shared" ref="AO5:AO18" si="12">IF(AL5=0," ",AL5/(AM5*T5)*100)</f>
        <v>79.797979797979806</v>
      </c>
    </row>
    <row r="6" spans="1:41" s="10" customFormat="1" ht="20.100000000000001" customHeight="1" x14ac:dyDescent="0.25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>
        <v>23</v>
      </c>
      <c r="V6" s="164">
        <v>25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48</v>
      </c>
      <c r="AI6" s="11">
        <f t="shared" si="7"/>
        <v>2</v>
      </c>
      <c r="AJ6" s="12">
        <f t="shared" si="8"/>
        <v>24</v>
      </c>
      <c r="AK6" s="77"/>
      <c r="AL6" s="124">
        <f t="shared" si="9"/>
        <v>222</v>
      </c>
      <c r="AM6" s="95">
        <f t="shared" si="10"/>
        <v>9</v>
      </c>
      <c r="AN6" s="11">
        <f t="shared" si="11"/>
        <v>24.666666666666668</v>
      </c>
      <c r="AO6" s="12">
        <f t="shared" si="12"/>
        <v>88.095238095238088</v>
      </c>
    </row>
    <row r="7" spans="1:41" s="10" customFormat="1" ht="20.100000000000001" customHeight="1" x14ac:dyDescent="0.25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11">
        <f t="shared" si="4"/>
        <v>10.555555555555555</v>
      </c>
      <c r="S7" s="12">
        <f t="shared" si="5"/>
        <v>70.370370370370367</v>
      </c>
      <c r="T7" s="70">
        <v>15</v>
      </c>
      <c r="U7" s="163"/>
      <c r="V7" s="164">
        <v>30</v>
      </c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30</v>
      </c>
      <c r="AI7" s="11">
        <f t="shared" si="7"/>
        <v>1</v>
      </c>
      <c r="AJ7" s="12">
        <f t="shared" si="8"/>
        <v>30</v>
      </c>
      <c r="AK7" s="77"/>
      <c r="AL7" s="124">
        <f t="shared" si="9"/>
        <v>125</v>
      </c>
      <c r="AM7" s="95">
        <f t="shared" si="10"/>
        <v>10</v>
      </c>
      <c r="AN7" s="11">
        <f t="shared" si="11"/>
        <v>12.5</v>
      </c>
      <c r="AO7" s="12">
        <f t="shared" si="12"/>
        <v>83.333333333333343</v>
      </c>
    </row>
    <row r="8" spans="1:41" s="10" customFormat="1" ht="20.100000000000001" customHeight="1" x14ac:dyDescent="0.25">
      <c r="A8" s="26" t="s">
        <v>345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25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>
        <v>122</v>
      </c>
      <c r="V9" s="164">
        <v>274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396</v>
      </c>
      <c r="AI9" s="11">
        <f t="shared" si="7"/>
        <v>2</v>
      </c>
      <c r="AJ9" s="12">
        <f t="shared" si="8"/>
        <v>198</v>
      </c>
      <c r="AK9" s="77"/>
      <c r="AL9" s="124">
        <f t="shared" si="9"/>
        <v>789</v>
      </c>
      <c r="AM9" s="95">
        <f t="shared" si="10"/>
        <v>6</v>
      </c>
      <c r="AN9" s="11">
        <f t="shared" si="11"/>
        <v>131.5</v>
      </c>
      <c r="AO9" s="12">
        <f t="shared" si="12"/>
        <v>105.2</v>
      </c>
    </row>
    <row r="10" spans="1:41" s="10" customFormat="1" ht="20.100000000000001" customHeight="1" x14ac:dyDescent="0.25">
      <c r="A10" s="26" t="s">
        <v>284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>
        <v>22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22</v>
      </c>
      <c r="AI10" s="11">
        <f t="shared" si="7"/>
        <v>1</v>
      </c>
      <c r="AJ10" s="12">
        <f t="shared" si="8"/>
        <v>22</v>
      </c>
      <c r="AK10" s="77"/>
      <c r="AL10" s="124">
        <f t="shared" si="9"/>
        <v>127</v>
      </c>
      <c r="AM10" s="95">
        <f t="shared" si="10"/>
        <v>8</v>
      </c>
      <c r="AN10" s="11">
        <f t="shared" si="11"/>
        <v>15.875</v>
      </c>
      <c r="AO10" s="12">
        <f t="shared" si="12"/>
        <v>105.83333333333333</v>
      </c>
    </row>
    <row r="11" spans="1:41" s="10" customFormat="1" ht="20.100000000000001" customHeight="1" x14ac:dyDescent="0.25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11">
        <f t="shared" si="4"/>
        <v>30.6</v>
      </c>
      <c r="S11" s="12">
        <f t="shared" si="5"/>
        <v>85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153</v>
      </c>
      <c r="AM11" s="95">
        <f t="shared" si="10"/>
        <v>5</v>
      </c>
      <c r="AN11" s="11">
        <f t="shared" si="11"/>
        <v>30.6</v>
      </c>
      <c r="AO11" s="12">
        <f t="shared" si="12"/>
        <v>85</v>
      </c>
    </row>
    <row r="12" spans="1:41" s="10" customFormat="1" ht="20.100000000000001" customHeight="1" x14ac:dyDescent="0.25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>
        <v>13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13</v>
      </c>
      <c r="AI12" s="11">
        <f t="shared" si="7"/>
        <v>1</v>
      </c>
      <c r="AJ12" s="12">
        <f t="shared" si="8"/>
        <v>13</v>
      </c>
      <c r="AK12" s="77"/>
      <c r="AL12" s="124">
        <f t="shared" si="9"/>
        <v>88</v>
      </c>
      <c r="AM12" s="95">
        <f t="shared" si="10"/>
        <v>8</v>
      </c>
      <c r="AN12" s="11">
        <f t="shared" si="11"/>
        <v>11</v>
      </c>
      <c r="AO12" s="12">
        <f t="shared" si="12"/>
        <v>68.75</v>
      </c>
    </row>
    <row r="13" spans="1:41" s="10" customFormat="1" ht="20.100000000000001" customHeight="1" x14ac:dyDescent="0.25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11">
        <f t="shared" si="4"/>
        <v>17.875</v>
      </c>
      <c r="S13" s="12">
        <f t="shared" si="5"/>
        <v>111.71875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143</v>
      </c>
      <c r="AM13" s="95">
        <f t="shared" si="10"/>
        <v>8</v>
      </c>
      <c r="AN13" s="11">
        <f t="shared" si="11"/>
        <v>17.875</v>
      </c>
      <c r="AO13" s="12">
        <f t="shared" si="12"/>
        <v>111.71875</v>
      </c>
    </row>
    <row r="14" spans="1:41" s="10" customFormat="1" ht="20.100000000000001" customHeight="1" x14ac:dyDescent="0.25">
      <c r="A14" s="26" t="s">
        <v>340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11">
        <f t="shared" si="4"/>
        <v>13</v>
      </c>
      <c r="S14" s="12">
        <f t="shared" si="5"/>
        <v>86.666666666666671</v>
      </c>
      <c r="T14" s="276">
        <v>15</v>
      </c>
      <c r="U14" s="163"/>
      <c r="V14" s="164">
        <v>9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9</v>
      </c>
      <c r="AI14" s="11">
        <f t="shared" si="7"/>
        <v>1</v>
      </c>
      <c r="AJ14" s="12">
        <f t="shared" si="8"/>
        <v>9</v>
      </c>
      <c r="AK14" s="77"/>
      <c r="AL14" s="124">
        <f t="shared" si="9"/>
        <v>139</v>
      </c>
      <c r="AM14" s="95">
        <f t="shared" si="10"/>
        <v>11</v>
      </c>
      <c r="AN14" s="11">
        <f t="shared" si="11"/>
        <v>12.636363636363637</v>
      </c>
      <c r="AO14" s="12">
        <f t="shared" si="12"/>
        <v>84.242424242424235</v>
      </c>
    </row>
    <row r="15" spans="1:41" s="10" customFormat="1" ht="20.100000000000001" customHeight="1" x14ac:dyDescent="0.25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25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25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637</v>
      </c>
      <c r="AI19" s="18">
        <f>SUM(AI4:AI18)</f>
        <v>12</v>
      </c>
      <c r="AJ19" s="23">
        <f>AH19/AI19</f>
        <v>53.083333333333336</v>
      </c>
      <c r="AK19" s="78"/>
      <c r="AL19" s="24">
        <f>SUM(AL4:AL18)</f>
        <v>2397</v>
      </c>
      <c r="AM19" s="18">
        <f>SUM(AM4:AM18)</f>
        <v>90</v>
      </c>
      <c r="AN19" s="18">
        <f t="shared" ref="AN19" si="16">AL19/AM19</f>
        <v>26.633333333333333</v>
      </c>
      <c r="AO19" s="20"/>
    </row>
    <row r="24" spans="1:41" x14ac:dyDescent="0.25">
      <c r="A24"/>
    </row>
    <row r="27" spans="1:41" x14ac:dyDescent="0.25">
      <c r="Q27" t="s">
        <v>372</v>
      </c>
    </row>
  </sheetData>
  <sortState xmlns:xlrd2="http://schemas.microsoft.com/office/spreadsheetml/2017/richdata2" ref="A5:B17">
    <sortCondition ref="A5:A17"/>
  </sortState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topLeftCell="A2" zoomScale="145" zoomScaleNormal="145" workbookViewId="0">
      <selection activeCell="AB18" sqref="AB18"/>
    </sheetView>
  </sheetViews>
  <sheetFormatPr defaultRowHeight="15" x14ac:dyDescent="0.25"/>
  <cols>
    <col min="1" max="1" width="25.85546875" style="134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28" t="s">
        <v>86</v>
      </c>
      <c r="B2" s="310" t="s">
        <v>42</v>
      </c>
      <c r="C2" s="312" t="s">
        <v>87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88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29"/>
      <c r="B3" s="311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336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8">
        <f>IF(P4=0," ",P4/Q4)</f>
        <v>11.333333333333334</v>
      </c>
      <c r="S4" s="94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8">
        <f>IF(AL4=0," ",AL4/AM4)</f>
        <v>11.333333333333334</v>
      </c>
      <c r="AO4" s="94">
        <f>IF(AL4=0," ",AL4/(AM4*T4)*100)</f>
        <v>75.555555555555557</v>
      </c>
    </row>
    <row r="5" spans="1:41" s="10" customFormat="1" ht="20.100000000000001" customHeight="1" x14ac:dyDescent="0.25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11">
        <f t="shared" ref="R5:R18" si="5">IF(P5=0," ",P5/Q5)</f>
        <v>45.5</v>
      </c>
      <c r="S5" s="12">
        <f t="shared" ref="S5:S18" si="6">IF(P5=0," ",P5/(Q5*T5)*100)</f>
        <v>119.73684210526316</v>
      </c>
      <c r="T5" s="70">
        <v>38</v>
      </c>
      <c r="U5" s="163">
        <v>54</v>
      </c>
      <c r="V5" s="164">
        <v>80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134</v>
      </c>
      <c r="AI5" s="11">
        <f t="shared" ref="AI5:AI18" si="8">COUNTIF(U5:AG5,"&gt;0")</f>
        <v>2</v>
      </c>
      <c r="AJ5" s="12">
        <f t="shared" ref="AJ5:AJ18" si="9">IF(AH5=0," ",AH5/AI5)</f>
        <v>67</v>
      </c>
      <c r="AK5" s="77"/>
      <c r="AL5" s="124">
        <f t="shared" ref="AL5:AL18" si="10">P5+AH5</f>
        <v>589</v>
      </c>
      <c r="AM5" s="95">
        <f t="shared" ref="AM5:AM18" si="11">Q5+AI5</f>
        <v>12</v>
      </c>
      <c r="AN5" s="11">
        <f t="shared" ref="AN5:AN18" si="12">IF(AL5=0," ",AL5/AM5)</f>
        <v>49.083333333333336</v>
      </c>
      <c r="AO5" s="12">
        <f t="shared" ref="AO5:AO18" si="13">IF(AL5=0," ",AL5/(AM5*T5)*100)</f>
        <v>129.16666666666669</v>
      </c>
    </row>
    <row r="6" spans="1:41" s="10" customFormat="1" ht="20.100000000000001" customHeight="1" x14ac:dyDescent="0.25">
      <c r="A6" s="69" t="s">
        <v>307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25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>
        <v>30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30</v>
      </c>
      <c r="AI7" s="11">
        <f t="shared" si="8"/>
        <v>1</v>
      </c>
      <c r="AJ7" s="12">
        <f t="shared" si="9"/>
        <v>30</v>
      </c>
      <c r="AK7" s="77"/>
      <c r="AL7" s="124">
        <f t="shared" si="10"/>
        <v>261</v>
      </c>
      <c r="AM7" s="95">
        <f t="shared" si="11"/>
        <v>8</v>
      </c>
      <c r="AN7" s="11">
        <f t="shared" si="12"/>
        <v>32.625</v>
      </c>
      <c r="AO7" s="12">
        <f t="shared" si="13"/>
        <v>95.955882352941174</v>
      </c>
    </row>
    <row r="8" spans="1:41" s="10" customFormat="1" ht="20.100000000000001" customHeight="1" x14ac:dyDescent="0.25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>
        <v>57</v>
      </c>
      <c r="V8" s="164">
        <v>53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110</v>
      </c>
      <c r="AI8" s="11">
        <f t="shared" si="8"/>
        <v>2</v>
      </c>
      <c r="AJ8" s="12">
        <f t="shared" si="9"/>
        <v>55</v>
      </c>
      <c r="AK8" s="77"/>
      <c r="AL8" s="124">
        <f t="shared" si="10"/>
        <v>436</v>
      </c>
      <c r="AM8" s="95">
        <f t="shared" si="11"/>
        <v>7</v>
      </c>
      <c r="AN8" s="11">
        <f t="shared" si="12"/>
        <v>62.285714285714285</v>
      </c>
      <c r="AO8" s="12">
        <f t="shared" si="13"/>
        <v>77.857142857142861</v>
      </c>
    </row>
    <row r="9" spans="1:41" s="10" customFormat="1" ht="20.100000000000001" customHeight="1" x14ac:dyDescent="0.25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25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25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11">
        <f t="shared" si="5"/>
        <v>25.111111111111111</v>
      </c>
      <c r="S11" s="12">
        <f t="shared" si="6"/>
        <v>114.14141414141415</v>
      </c>
      <c r="T11" s="70">
        <v>22</v>
      </c>
      <c r="U11" s="163">
        <v>25</v>
      </c>
      <c r="V11" s="164">
        <v>18</v>
      </c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43</v>
      </c>
      <c r="AI11" s="11">
        <f t="shared" si="8"/>
        <v>2</v>
      </c>
      <c r="AJ11" s="12">
        <f t="shared" si="9"/>
        <v>21.5</v>
      </c>
      <c r="AK11" s="77"/>
      <c r="AL11" s="124">
        <f t="shared" si="10"/>
        <v>269</v>
      </c>
      <c r="AM11" s="95">
        <f t="shared" si="11"/>
        <v>11</v>
      </c>
      <c r="AN11" s="11">
        <f t="shared" si="12"/>
        <v>24.454545454545453</v>
      </c>
      <c r="AO11" s="12">
        <f t="shared" si="13"/>
        <v>111.15702479338843</v>
      </c>
    </row>
    <row r="12" spans="1:41" s="10" customFormat="1" ht="20.100000000000001" customHeight="1" x14ac:dyDescent="0.25">
      <c r="A12" s="26" t="s">
        <v>370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100</v>
      </c>
      <c r="T12" s="276">
        <v>23</v>
      </c>
      <c r="U12" s="163"/>
      <c r="V12" s="164">
        <v>34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34</v>
      </c>
      <c r="AI12" s="11">
        <f t="shared" si="8"/>
        <v>1</v>
      </c>
      <c r="AJ12" s="12">
        <f t="shared" si="9"/>
        <v>34</v>
      </c>
      <c r="AK12" s="77"/>
      <c r="AL12" s="124">
        <f t="shared" si="10"/>
        <v>126</v>
      </c>
      <c r="AM12" s="95">
        <f t="shared" si="11"/>
        <v>5</v>
      </c>
      <c r="AN12" s="11">
        <f t="shared" si="12"/>
        <v>25.2</v>
      </c>
      <c r="AO12" s="12">
        <f t="shared" si="13"/>
        <v>109.56521739130434</v>
      </c>
    </row>
    <row r="13" spans="1:41" s="10" customFormat="1" ht="20.100000000000001" customHeight="1" x14ac:dyDescent="0.25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11">
        <f t="shared" si="5"/>
        <v>39</v>
      </c>
      <c r="S13" s="12">
        <f t="shared" si="6"/>
        <v>118.18181818181819</v>
      </c>
      <c r="T13" s="70">
        <v>33</v>
      </c>
      <c r="U13" s="163">
        <v>35</v>
      </c>
      <c r="V13" s="164">
        <v>40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75</v>
      </c>
      <c r="AI13" s="11">
        <f t="shared" si="8"/>
        <v>2</v>
      </c>
      <c r="AJ13" s="12">
        <f t="shared" si="9"/>
        <v>37.5</v>
      </c>
      <c r="AK13" s="77"/>
      <c r="AL13" s="124">
        <f t="shared" si="10"/>
        <v>387</v>
      </c>
      <c r="AM13" s="95">
        <f t="shared" si="11"/>
        <v>10</v>
      </c>
      <c r="AN13" s="11">
        <f t="shared" si="12"/>
        <v>38.700000000000003</v>
      </c>
      <c r="AO13" s="12">
        <f t="shared" si="13"/>
        <v>117.27272727272727</v>
      </c>
    </row>
    <row r="14" spans="1:41" s="10" customFormat="1" ht="20.100000000000001" customHeight="1" x14ac:dyDescent="0.25">
      <c r="A14" s="26" t="s">
        <v>317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11">
        <f t="shared" si="5"/>
        <v>35.888888888888886</v>
      </c>
      <c r="S14" s="12">
        <f t="shared" si="6"/>
        <v>92.022792022792018</v>
      </c>
      <c r="T14" s="70">
        <v>39</v>
      </c>
      <c r="U14" s="163"/>
      <c r="V14" s="164">
        <v>28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28</v>
      </c>
      <c r="AI14" s="11">
        <f t="shared" si="8"/>
        <v>1</v>
      </c>
      <c r="AJ14" s="12">
        <f t="shared" si="9"/>
        <v>28</v>
      </c>
      <c r="AK14" s="77"/>
      <c r="AL14" s="124">
        <f t="shared" si="10"/>
        <v>351</v>
      </c>
      <c r="AM14" s="95">
        <f t="shared" si="11"/>
        <v>10</v>
      </c>
      <c r="AN14" s="11">
        <f t="shared" si="12"/>
        <v>35.1</v>
      </c>
      <c r="AO14" s="12">
        <f t="shared" si="13"/>
        <v>90</v>
      </c>
    </row>
    <row r="15" spans="1:41" s="10" customFormat="1" ht="20.100000000000001" customHeight="1" x14ac:dyDescent="0.25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>
        <v>52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52</v>
      </c>
      <c r="AI15" s="11">
        <f t="shared" si="8"/>
        <v>1</v>
      </c>
      <c r="AJ15" s="12">
        <f t="shared" si="9"/>
        <v>52</v>
      </c>
      <c r="AK15" s="77"/>
      <c r="AL15" s="124">
        <f t="shared" si="10"/>
        <v>426</v>
      </c>
      <c r="AM15" s="95">
        <f t="shared" si="11"/>
        <v>7</v>
      </c>
      <c r="AN15" s="11">
        <f t="shared" si="12"/>
        <v>60.857142857142854</v>
      </c>
      <c r="AO15" s="12">
        <f t="shared" si="13"/>
        <v>103.14769975786926</v>
      </c>
    </row>
    <row r="16" spans="1:41" s="10" customFormat="1" ht="20.100000000000001" customHeight="1" x14ac:dyDescent="0.25">
      <c r="A16" s="26" t="s">
        <v>356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4"/>
        <v>317</v>
      </c>
      <c r="Q16" s="11">
        <f t="shared" si="15"/>
        <v>10</v>
      </c>
      <c r="R16" s="11">
        <f t="shared" si="16"/>
        <v>31.7</v>
      </c>
      <c r="S16" s="12">
        <f t="shared" si="17"/>
        <v>99.0625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317</v>
      </c>
      <c r="AM16" s="95">
        <f t="shared" si="11"/>
        <v>10</v>
      </c>
      <c r="AN16" s="11">
        <f t="shared" si="12"/>
        <v>31.7</v>
      </c>
      <c r="AO16" s="12">
        <f t="shared" si="13"/>
        <v>99.0625</v>
      </c>
    </row>
    <row r="17" spans="1:41" s="10" customFormat="1" ht="20.100000000000001" customHeight="1" x14ac:dyDescent="0.25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506</v>
      </c>
      <c r="AI19" s="18">
        <f>SUM(V4:V18)</f>
        <v>253</v>
      </c>
      <c r="AJ19" s="23">
        <f>AH19/AH19</f>
        <v>1</v>
      </c>
      <c r="AK19" s="78"/>
      <c r="AL19" s="24">
        <f>SUM(AL4:AL18)</f>
        <v>3336</v>
      </c>
      <c r="AM19" s="18">
        <f>SUM(AM4:AM18)</f>
        <v>90</v>
      </c>
      <c r="AN19" s="18">
        <f t="shared" ref="AN19" si="21">AL19/AM19</f>
        <v>37.06666666666667</v>
      </c>
      <c r="AO19" s="20"/>
    </row>
    <row r="24" spans="1:41" x14ac:dyDescent="0.25">
      <c r="A24"/>
    </row>
  </sheetData>
  <sortState xmlns:xlrd2="http://schemas.microsoft.com/office/spreadsheetml/2017/richdata2" ref="A4:B17">
    <sortCondition ref="A4:A17"/>
  </sortState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topLeftCell="A2" zoomScaleNormal="100" workbookViewId="0">
      <selection activeCell="V6" sqref="V6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28" t="s">
        <v>97</v>
      </c>
      <c r="B2" s="310" t="s">
        <v>42</v>
      </c>
      <c r="C2" s="312" t="s">
        <v>98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99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2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25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11">
        <f t="shared" ref="R5:R18" si="4">IF(P5=0," ",P5/Q5)</f>
        <v>37.5</v>
      </c>
      <c r="S5" s="12">
        <f t="shared" ref="S5:S18" si="5">IF(P5=0," ",P5/(Q5*B5)*100)</f>
        <v>91.463414634146346</v>
      </c>
      <c r="T5" s="70">
        <v>41</v>
      </c>
      <c r="U5" s="163"/>
      <c r="V5" s="164">
        <v>34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34</v>
      </c>
      <c r="AI5" s="11">
        <f t="shared" ref="AI5:AI18" si="7">COUNTIF(U5:AG5,"&gt;0")</f>
        <v>1</v>
      </c>
      <c r="AJ5" s="12">
        <f t="shared" ref="AJ5:AJ18" si="8">IF(AH5=0," ",AH5/AI5)</f>
        <v>34</v>
      </c>
      <c r="AK5" s="77"/>
      <c r="AL5" s="124">
        <f t="shared" ref="AL5:AL18" si="9">P5+AH5</f>
        <v>259</v>
      </c>
      <c r="AM5" s="95">
        <f t="shared" ref="AM5:AM18" si="10">Q5+AI5</f>
        <v>7</v>
      </c>
      <c r="AN5" s="11">
        <f t="shared" ref="AN5:AN18" si="11">IF(AL5=0," ",AL5/AM5)</f>
        <v>37</v>
      </c>
      <c r="AO5" s="12">
        <f t="shared" ref="AO5:AO18" si="12">IF(AL5=0," ",AL5/(AM5*T5)*100)</f>
        <v>90.243902439024396</v>
      </c>
    </row>
    <row r="6" spans="1:41" s="10" customFormat="1" ht="20.100000000000001" customHeight="1" x14ac:dyDescent="0.25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11">
        <f t="shared" si="4"/>
        <v>39.6</v>
      </c>
      <c r="S6" s="12">
        <f t="shared" si="5"/>
        <v>104.21052631578947</v>
      </c>
      <c r="T6" s="70">
        <v>38</v>
      </c>
      <c r="U6" s="163"/>
      <c r="V6" s="164">
        <v>47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47</v>
      </c>
      <c r="AI6" s="11">
        <f t="shared" si="7"/>
        <v>1</v>
      </c>
      <c r="AJ6" s="12">
        <f t="shared" si="8"/>
        <v>47</v>
      </c>
      <c r="AK6" s="77"/>
      <c r="AL6" s="124">
        <f t="shared" si="9"/>
        <v>245</v>
      </c>
      <c r="AM6" s="95">
        <f t="shared" si="10"/>
        <v>6</v>
      </c>
      <c r="AN6" s="11">
        <f t="shared" si="11"/>
        <v>40.833333333333336</v>
      </c>
      <c r="AO6" s="12">
        <f t="shared" si="12"/>
        <v>107.45614035087718</v>
      </c>
    </row>
    <row r="7" spans="1:41" s="10" customFormat="1" ht="20.100000000000001" customHeight="1" x14ac:dyDescent="0.25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11">
        <f t="shared" si="4"/>
        <v>28.727272727272727</v>
      </c>
      <c r="S7" s="12">
        <f t="shared" si="5"/>
        <v>114.90909090909092</v>
      </c>
      <c r="T7" s="70">
        <v>25</v>
      </c>
      <c r="U7" s="163">
        <v>30</v>
      </c>
      <c r="V7" s="164">
        <v>30</v>
      </c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60</v>
      </c>
      <c r="AI7" s="11">
        <f t="shared" si="7"/>
        <v>2</v>
      </c>
      <c r="AJ7" s="12">
        <f t="shared" si="8"/>
        <v>30</v>
      </c>
      <c r="AK7" s="77"/>
      <c r="AL7" s="124">
        <f t="shared" si="9"/>
        <v>376</v>
      </c>
      <c r="AM7" s="95">
        <f t="shared" si="10"/>
        <v>13</v>
      </c>
      <c r="AN7" s="11">
        <f t="shared" si="11"/>
        <v>28.923076923076923</v>
      </c>
      <c r="AO7" s="12">
        <f t="shared" si="12"/>
        <v>115.69230769230769</v>
      </c>
    </row>
    <row r="8" spans="1:41" s="10" customFormat="1" ht="20.100000000000001" customHeight="1" x14ac:dyDescent="0.25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11">
        <f t="shared" si="4"/>
        <v>10.7500125</v>
      </c>
      <c r="S8" s="12">
        <f t="shared" si="5"/>
        <v>71.666750000000008</v>
      </c>
      <c r="T8" s="70">
        <v>15</v>
      </c>
      <c r="U8" s="163">
        <v>11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11</v>
      </c>
      <c r="AI8" s="11">
        <f t="shared" si="7"/>
        <v>1</v>
      </c>
      <c r="AJ8" s="12">
        <f t="shared" si="8"/>
        <v>11</v>
      </c>
      <c r="AK8" s="77"/>
      <c r="AL8" s="124">
        <f t="shared" si="9"/>
        <v>97.000100000000003</v>
      </c>
      <c r="AM8" s="95">
        <f t="shared" si="10"/>
        <v>9</v>
      </c>
      <c r="AN8" s="11">
        <f t="shared" si="11"/>
        <v>10.777788888888889</v>
      </c>
      <c r="AO8" s="12">
        <f t="shared" si="12"/>
        <v>71.851925925925926</v>
      </c>
    </row>
    <row r="9" spans="1:41" s="10" customFormat="1" ht="20.100000000000001" customHeight="1" x14ac:dyDescent="0.25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>
        <v>55</v>
      </c>
      <c r="V9" s="164">
        <v>32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87</v>
      </c>
      <c r="AI9" s="11">
        <f t="shared" si="7"/>
        <v>2</v>
      </c>
      <c r="AJ9" s="12">
        <f t="shared" si="8"/>
        <v>43.5</v>
      </c>
      <c r="AK9" s="77"/>
      <c r="AL9" s="124">
        <f t="shared" si="9"/>
        <v>422</v>
      </c>
      <c r="AM9" s="95">
        <f t="shared" si="10"/>
        <v>10</v>
      </c>
      <c r="AN9" s="11">
        <f t="shared" si="11"/>
        <v>42.2</v>
      </c>
      <c r="AO9" s="12">
        <f t="shared" si="12"/>
        <v>108.2051282051282</v>
      </c>
    </row>
    <row r="10" spans="1:41" s="10" customFormat="1" ht="20.100000000000001" customHeight="1" x14ac:dyDescent="0.25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>
        <v>34</v>
      </c>
      <c r="V10" s="164">
        <v>17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51</v>
      </c>
      <c r="AI10" s="11">
        <f t="shared" si="7"/>
        <v>2</v>
      </c>
      <c r="AJ10" s="12">
        <f t="shared" si="8"/>
        <v>25.5</v>
      </c>
      <c r="AK10" s="77"/>
      <c r="AL10" s="124">
        <f t="shared" si="9"/>
        <v>168</v>
      </c>
      <c r="AM10" s="95">
        <f t="shared" si="10"/>
        <v>7</v>
      </c>
      <c r="AN10" s="11">
        <f t="shared" si="11"/>
        <v>24</v>
      </c>
      <c r="AO10" s="12">
        <f t="shared" si="12"/>
        <v>104.34782608695652</v>
      </c>
    </row>
    <row r="11" spans="1:41" s="10" customFormat="1" ht="20.100000000000001" customHeight="1" x14ac:dyDescent="0.25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11">
        <f t="shared" si="4"/>
        <v>82.125</v>
      </c>
      <c r="S11" s="12">
        <f t="shared" si="5"/>
        <v>128.3203125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657</v>
      </c>
      <c r="AM11" s="95">
        <f t="shared" si="10"/>
        <v>8</v>
      </c>
      <c r="AN11" s="11">
        <f t="shared" si="11"/>
        <v>82.125</v>
      </c>
      <c r="AO11" s="12">
        <f t="shared" si="12"/>
        <v>128.3203125</v>
      </c>
    </row>
    <row r="12" spans="1:41" s="10" customFormat="1" ht="20.100000000000001" customHeight="1" x14ac:dyDescent="0.25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>
        <v>41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41</v>
      </c>
      <c r="AI12" s="11">
        <f t="shared" si="7"/>
        <v>1</v>
      </c>
      <c r="AJ12" s="12">
        <f t="shared" si="8"/>
        <v>41</v>
      </c>
      <c r="AK12" s="77"/>
      <c r="AL12" s="124">
        <f t="shared" si="9"/>
        <v>123</v>
      </c>
      <c r="AM12" s="95">
        <f t="shared" si="10"/>
        <v>3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25">
      <c r="A13" s="26" t="s">
        <v>308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>
        <v>34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34</v>
      </c>
      <c r="AI13" s="11">
        <f t="shared" si="7"/>
        <v>1</v>
      </c>
      <c r="AJ13" s="12">
        <f t="shared" si="8"/>
        <v>34</v>
      </c>
      <c r="AK13" s="77"/>
      <c r="AL13" s="124">
        <f t="shared" si="9"/>
        <v>203</v>
      </c>
      <c r="AM13" s="95">
        <f t="shared" si="10"/>
        <v>8</v>
      </c>
      <c r="AN13" s="11">
        <f t="shared" si="11"/>
        <v>25.375</v>
      </c>
      <c r="AO13" s="12">
        <f t="shared" si="12"/>
        <v>93.981481481481481</v>
      </c>
    </row>
    <row r="14" spans="1:41" s="10" customFormat="1" ht="20.100000000000001" customHeight="1" x14ac:dyDescent="0.25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>
        <v>16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16</v>
      </c>
      <c r="AI14" s="11">
        <f t="shared" si="7"/>
        <v>1</v>
      </c>
      <c r="AJ14" s="12">
        <f t="shared" si="8"/>
        <v>16</v>
      </c>
      <c r="AK14" s="77"/>
      <c r="AL14" s="124">
        <f t="shared" si="9"/>
        <v>117</v>
      </c>
      <c r="AM14" s="95">
        <f t="shared" si="10"/>
        <v>5</v>
      </c>
      <c r="AN14" s="11">
        <f t="shared" si="11"/>
        <v>23.4</v>
      </c>
      <c r="AO14" s="12">
        <f t="shared" si="12"/>
        <v>78</v>
      </c>
    </row>
    <row r="15" spans="1:41" s="10" customFormat="1" ht="20.100000000000001" customHeight="1" x14ac:dyDescent="0.25">
      <c r="A15" s="26" t="s">
        <v>309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11">
        <f t="shared" si="4"/>
        <v>14.75</v>
      </c>
      <c r="S15" s="12">
        <f t="shared" si="5"/>
        <v>92.1875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118</v>
      </c>
      <c r="AM15" s="95">
        <f t="shared" si="10"/>
        <v>8</v>
      </c>
      <c r="AN15" s="11">
        <f t="shared" si="11"/>
        <v>14.75</v>
      </c>
      <c r="AO15" s="12">
        <f t="shared" si="12"/>
        <v>92.1875</v>
      </c>
    </row>
    <row r="16" spans="1:41" s="10" customFormat="1" ht="20.100000000000001" customHeight="1" x14ac:dyDescent="0.25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25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205</v>
      </c>
      <c r="P19" s="19">
        <f t="shared" si="14"/>
        <v>2568.0001000000002</v>
      </c>
      <c r="Q19" s="19">
        <f t="shared" si="14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381</v>
      </c>
      <c r="AI19" s="18">
        <f>SUM(AI4:AI18)</f>
        <v>12</v>
      </c>
      <c r="AJ19" s="23">
        <f>AH19/AI19</f>
        <v>31.75</v>
      </c>
      <c r="AK19" s="78"/>
      <c r="AL19" s="24">
        <f>SUM(AL4:AL18)</f>
        <v>2949.0001000000002</v>
      </c>
      <c r="AM19" s="18">
        <f>SUM(AM4:AM18)</f>
        <v>90</v>
      </c>
      <c r="AN19" s="18">
        <f t="shared" ref="AN19" si="17">AL19/AM19</f>
        <v>32.766667777777783</v>
      </c>
      <c r="AO19" s="20"/>
    </row>
    <row r="24" spans="1:41" x14ac:dyDescent="0.25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topLeftCell="A2" zoomScale="115" zoomScaleNormal="115" workbookViewId="0">
      <selection activeCell="AL19" sqref="AL19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26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110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310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>
        <v>20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20</v>
      </c>
      <c r="AI4" s="8">
        <f>COUNTIF(U4:AG4,"&gt;0")</f>
        <v>1</v>
      </c>
      <c r="AJ4" s="94">
        <f>IF(AH4=0," ",AH4/AI4)</f>
        <v>20</v>
      </c>
      <c r="AK4" s="77"/>
      <c r="AL4" s="122">
        <f t="shared" ref="AL4" si="0">P4+AH4</f>
        <v>232</v>
      </c>
      <c r="AM4" s="123">
        <f t="shared" ref="AM4" si="1">Q4+AI4</f>
        <v>7</v>
      </c>
      <c r="AN4" s="8">
        <f>IF(AL4=0," ",AL4/AM4)</f>
        <v>33.142857142857146</v>
      </c>
      <c r="AO4" s="94">
        <f t="shared" ref="AO4" si="2">IF(AL4=0," ",AL4/(AM4*T4)*100)</f>
        <v>87.218045112781951</v>
      </c>
    </row>
    <row r="5" spans="1:41" s="10" customFormat="1" ht="20.100000000000001" customHeight="1" x14ac:dyDescent="0.25">
      <c r="A5" s="26" t="s">
        <v>318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11">
        <f t="shared" ref="R5:R18" si="5">IF(P5=0," ",P5/Q5)</f>
        <v>56</v>
      </c>
      <c r="S5" s="12">
        <f t="shared" ref="S5:S18" si="6">IF(P5=0," ",P5/(Q5*B5)*100)</f>
        <v>96.551724137931032</v>
      </c>
      <c r="T5" s="70">
        <v>58</v>
      </c>
      <c r="U5" s="163">
        <v>56</v>
      </c>
      <c r="V5" s="164">
        <v>53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109</v>
      </c>
      <c r="AI5" s="11">
        <f t="shared" ref="AI5:AI18" si="8">COUNTIF(U5:AG5,"&gt;0")</f>
        <v>2</v>
      </c>
      <c r="AJ5" s="12">
        <f t="shared" ref="AJ5:AJ18" si="9">IF(AH5=0," ",AH5/AI5)</f>
        <v>54.5</v>
      </c>
      <c r="AK5" s="77"/>
      <c r="AL5" s="124">
        <f t="shared" ref="AL5:AL18" si="10">P5+AH5</f>
        <v>613</v>
      </c>
      <c r="AM5" s="95">
        <f t="shared" ref="AM5:AM18" si="11">Q5+AI5</f>
        <v>11</v>
      </c>
      <c r="AN5" s="11">
        <f t="shared" ref="AN5:AN18" si="12">IF(AL5=0," ",AL5/AM5)</f>
        <v>55.727272727272727</v>
      </c>
      <c r="AO5" s="12">
        <f t="shared" ref="AO5:AO18" si="13">IF(AL5=0," ",AL5/(AM5*T5)*100)</f>
        <v>96.081504702194351</v>
      </c>
    </row>
    <row r="6" spans="1:41" s="10" customFormat="1" ht="20.100000000000001" customHeight="1" x14ac:dyDescent="0.25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11">
        <f t="shared" si="5"/>
        <v>27.7</v>
      </c>
      <c r="S6" s="12">
        <f t="shared" si="6"/>
        <v>102.5925925925926</v>
      </c>
      <c r="T6" s="70">
        <v>27</v>
      </c>
      <c r="U6" s="163">
        <v>29</v>
      </c>
      <c r="V6" s="164">
        <v>24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53</v>
      </c>
      <c r="AI6" s="11">
        <f t="shared" si="8"/>
        <v>2</v>
      </c>
      <c r="AJ6" s="12">
        <f t="shared" si="9"/>
        <v>26.5</v>
      </c>
      <c r="AK6" s="77"/>
      <c r="AL6" s="124">
        <f t="shared" si="10"/>
        <v>330</v>
      </c>
      <c r="AM6" s="95">
        <f t="shared" si="11"/>
        <v>12</v>
      </c>
      <c r="AN6" s="11">
        <f t="shared" si="12"/>
        <v>27.5</v>
      </c>
      <c r="AO6" s="12">
        <f t="shared" si="13"/>
        <v>101.85185185185186</v>
      </c>
    </row>
    <row r="7" spans="1:41" s="10" customFormat="1" ht="20.100000000000001" customHeight="1" x14ac:dyDescent="0.25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11">
        <f t="shared" si="5"/>
        <v>35</v>
      </c>
      <c r="S7" s="12">
        <f t="shared" si="6"/>
        <v>116.66666666666667</v>
      </c>
      <c r="T7" s="70">
        <v>30</v>
      </c>
      <c r="U7" s="163">
        <v>38</v>
      </c>
      <c r="V7" s="164">
        <v>31</v>
      </c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69</v>
      </c>
      <c r="AI7" s="11">
        <f t="shared" si="8"/>
        <v>2</v>
      </c>
      <c r="AJ7" s="12">
        <f t="shared" si="9"/>
        <v>34.5</v>
      </c>
      <c r="AK7" s="77"/>
      <c r="AL7" s="124">
        <f t="shared" si="10"/>
        <v>384</v>
      </c>
      <c r="AM7" s="95">
        <f t="shared" si="11"/>
        <v>11</v>
      </c>
      <c r="AN7" s="11">
        <f t="shared" si="12"/>
        <v>34.909090909090907</v>
      </c>
      <c r="AO7" s="12">
        <f t="shared" si="13"/>
        <v>116.36363636363636</v>
      </c>
    </row>
    <row r="8" spans="1:41" s="10" customFormat="1" ht="20.100000000000001" customHeight="1" x14ac:dyDescent="0.25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>
        <v>77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77</v>
      </c>
      <c r="AI8" s="11">
        <f t="shared" si="8"/>
        <v>1</v>
      </c>
      <c r="AJ8" s="12">
        <f t="shared" si="9"/>
        <v>77</v>
      </c>
      <c r="AK8" s="77"/>
      <c r="AL8" s="124">
        <f t="shared" si="10"/>
        <v>496</v>
      </c>
      <c r="AM8" s="95">
        <f t="shared" si="11"/>
        <v>9</v>
      </c>
      <c r="AN8" s="11">
        <f t="shared" si="12"/>
        <v>55.111111111111114</v>
      </c>
      <c r="AO8" s="12">
        <f t="shared" si="13"/>
        <v>103.98322851153038</v>
      </c>
    </row>
    <row r="9" spans="1:41" s="10" customFormat="1" ht="20.100000000000001" customHeight="1" x14ac:dyDescent="0.25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11">
        <f t="shared" si="5"/>
        <v>21</v>
      </c>
      <c r="S9" s="12">
        <f t="shared" si="6"/>
        <v>87.5</v>
      </c>
      <c r="T9" s="70">
        <v>24</v>
      </c>
      <c r="U9" s="163">
        <v>26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26</v>
      </c>
      <c r="AI9" s="11">
        <f t="shared" si="8"/>
        <v>1</v>
      </c>
      <c r="AJ9" s="12">
        <f t="shared" si="9"/>
        <v>26</v>
      </c>
      <c r="AK9" s="77"/>
      <c r="AL9" s="124">
        <f t="shared" si="10"/>
        <v>173</v>
      </c>
      <c r="AM9" s="95">
        <f t="shared" si="11"/>
        <v>8</v>
      </c>
      <c r="AN9" s="11">
        <f t="shared" si="12"/>
        <v>21.625</v>
      </c>
      <c r="AO9" s="12">
        <f t="shared" si="13"/>
        <v>90.104166666666657</v>
      </c>
    </row>
    <row r="10" spans="1:41" s="10" customFormat="1" ht="20.100000000000001" customHeight="1" x14ac:dyDescent="0.25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25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11">
        <f t="shared" si="5"/>
        <v>59.090909090909093</v>
      </c>
      <c r="S11" s="12">
        <f t="shared" si="6"/>
        <v>109.42760942760943</v>
      </c>
      <c r="T11" s="70">
        <v>54</v>
      </c>
      <c r="U11" s="163">
        <v>56</v>
      </c>
      <c r="V11" s="164">
        <v>99</v>
      </c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155</v>
      </c>
      <c r="AI11" s="11">
        <f t="shared" si="8"/>
        <v>2</v>
      </c>
      <c r="AJ11" s="12">
        <f t="shared" si="9"/>
        <v>77.5</v>
      </c>
      <c r="AK11" s="77"/>
      <c r="AL11" s="124">
        <f t="shared" si="10"/>
        <v>805</v>
      </c>
      <c r="AM11" s="95">
        <f t="shared" si="11"/>
        <v>13</v>
      </c>
      <c r="AN11" s="11">
        <f t="shared" si="12"/>
        <v>61.92307692307692</v>
      </c>
      <c r="AO11" s="12">
        <f t="shared" si="13"/>
        <v>114.67236467236468</v>
      </c>
    </row>
    <row r="12" spans="1:41" s="10" customFormat="1" ht="20.100000000000001" customHeight="1" x14ac:dyDescent="0.25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11">
        <f t="shared" si="5"/>
        <v>35.9</v>
      </c>
      <c r="S12" s="12">
        <f t="shared" si="6"/>
        <v>97.027027027027017</v>
      </c>
      <c r="T12" s="70">
        <v>37</v>
      </c>
      <c r="U12" s="163"/>
      <c r="V12" s="164">
        <v>47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47</v>
      </c>
      <c r="AI12" s="11">
        <f t="shared" si="8"/>
        <v>1</v>
      </c>
      <c r="AJ12" s="12">
        <f t="shared" si="9"/>
        <v>47</v>
      </c>
      <c r="AK12" s="77"/>
      <c r="AL12" s="124">
        <f t="shared" si="10"/>
        <v>406</v>
      </c>
      <c r="AM12" s="95">
        <f t="shared" si="11"/>
        <v>11</v>
      </c>
      <c r="AN12" s="11">
        <f t="shared" si="12"/>
        <v>36.909090909090907</v>
      </c>
      <c r="AO12" s="12">
        <f t="shared" si="13"/>
        <v>99.754299754299751</v>
      </c>
    </row>
    <row r="13" spans="1:41" s="10" customFormat="1" ht="20.100000000000001" customHeight="1" x14ac:dyDescent="0.25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25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25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25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25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331</v>
      </c>
      <c r="P19" s="19">
        <f t="shared" si="15"/>
        <v>3072</v>
      </c>
      <c r="Q19" s="19">
        <f t="shared" si="15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556</v>
      </c>
      <c r="AI19" s="18">
        <f>SUM(AI4:AI18)</f>
        <v>12</v>
      </c>
      <c r="AJ19" s="23">
        <f>AH19/AI19</f>
        <v>46.333333333333336</v>
      </c>
      <c r="AK19" s="78"/>
      <c r="AL19" s="24">
        <f>SUM(AL4:AL18)</f>
        <v>3628</v>
      </c>
      <c r="AM19" s="18">
        <f>SUM(AM4:AM18)</f>
        <v>90</v>
      </c>
      <c r="AN19" s="18">
        <f t="shared" ref="AN19" si="18">AL19/AM19</f>
        <v>40.31111111111111</v>
      </c>
      <c r="AO19" s="20"/>
    </row>
    <row r="24" spans="1:41" x14ac:dyDescent="0.25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AL19" sqref="AL19"/>
    </sheetView>
  </sheetViews>
  <sheetFormatPr defaultRowHeight="15" x14ac:dyDescent="0.25"/>
  <cols>
    <col min="1" max="1" width="25.85546875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28" t="s">
        <v>333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118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29"/>
      <c r="B3" s="311"/>
      <c r="C3" s="6">
        <v>1</v>
      </c>
      <c r="D3" s="2">
        <v>2</v>
      </c>
      <c r="E3" s="2">
        <v>3</v>
      </c>
      <c r="F3" s="27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4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8">
        <f>IF(P4=0," ",P4/Q4)</f>
        <v>31.75</v>
      </c>
      <c r="S4" s="94">
        <f>IF(P4=0," ",P4/(Q4*B4)*100)</f>
        <v>102.41935483870968</v>
      </c>
      <c r="T4" s="70">
        <v>31</v>
      </c>
      <c r="U4" s="160">
        <v>22</v>
      </c>
      <c r="V4" s="161">
        <v>27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49</v>
      </c>
      <c r="AI4" s="8">
        <f>COUNTIF(U4:AG4,"&gt;0")</f>
        <v>2</v>
      </c>
      <c r="AJ4" s="94">
        <f>IF(AH4=0," ",AH4/AI4)</f>
        <v>24.5</v>
      </c>
      <c r="AK4" s="77"/>
      <c r="AL4" s="122">
        <f t="shared" ref="AL4" si="0">P4+AH4</f>
        <v>430</v>
      </c>
      <c r="AM4" s="123">
        <f t="shared" ref="AM4" si="1">Q4+AI4</f>
        <v>14</v>
      </c>
      <c r="AN4" s="8">
        <f>IF(AL4=0," ",AL4/AM4)</f>
        <v>30.714285714285715</v>
      </c>
      <c r="AO4" s="94">
        <f>IF(AL4=0," ",AL4/(AM4*T4)*100)</f>
        <v>99.078341013824883</v>
      </c>
    </row>
    <row r="5" spans="1:41" s="10" customFormat="1" ht="20.100000000000001" customHeight="1" x14ac:dyDescent="0.25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3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11">
        <f t="shared" ref="R5:R18" si="4">IF(P5=0," ",P5/Q5)</f>
        <v>19.444444444444443</v>
      </c>
      <c r="S5" s="12">
        <f t="shared" ref="S5:S18" si="5">IF(P5=0," ",P5/(Q5*B5)*100)</f>
        <v>81.018518518518519</v>
      </c>
      <c r="T5" s="70">
        <v>24</v>
      </c>
      <c r="U5" s="163"/>
      <c r="V5" s="164">
        <v>21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21</v>
      </c>
      <c r="AI5" s="11">
        <f t="shared" ref="AI5:AI18" si="7">COUNTIF(U5:AG5,"&gt;0")</f>
        <v>1</v>
      </c>
      <c r="AJ5" s="12">
        <f t="shared" ref="AJ5:AJ18" si="8">IF(AH5=0," ",AH5/AI5)</f>
        <v>21</v>
      </c>
      <c r="AK5" s="77"/>
      <c r="AL5" s="124">
        <f t="shared" ref="AL5:AL18" si="9">P5+AH5</f>
        <v>196</v>
      </c>
      <c r="AM5" s="95">
        <f t="shared" ref="AM5:AM18" si="10">Q5+AI5</f>
        <v>10</v>
      </c>
      <c r="AN5" s="11">
        <f t="shared" ref="AN5:AN18" si="11">IF(AL5=0," ",AL5/AM5)</f>
        <v>19.600000000000001</v>
      </c>
      <c r="AO5" s="12">
        <f t="shared" ref="AO5:AO18" si="12">IF(AL5=0," ",AL5/(AM5*T5)*100)</f>
        <v>81.666666666666671</v>
      </c>
    </row>
    <row r="6" spans="1:41" s="10" customFormat="1" ht="20.100000000000001" customHeight="1" x14ac:dyDescent="0.25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11">
        <f t="shared" si="4"/>
        <v>74.75</v>
      </c>
      <c r="S6" s="12">
        <f t="shared" si="5"/>
        <v>109.9264705882353</v>
      </c>
      <c r="T6" s="70">
        <v>68</v>
      </c>
      <c r="U6" s="163">
        <v>85</v>
      </c>
      <c r="V6" s="164">
        <v>93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178</v>
      </c>
      <c r="AI6" s="11">
        <f t="shared" si="7"/>
        <v>2</v>
      </c>
      <c r="AJ6" s="12">
        <f t="shared" si="8"/>
        <v>89</v>
      </c>
      <c r="AK6" s="77"/>
      <c r="AL6" s="124">
        <f t="shared" si="9"/>
        <v>1075</v>
      </c>
      <c r="AM6" s="95">
        <f t="shared" si="10"/>
        <v>14</v>
      </c>
      <c r="AN6" s="11">
        <f t="shared" si="11"/>
        <v>76.785714285714292</v>
      </c>
      <c r="AO6" s="12">
        <f t="shared" si="12"/>
        <v>112.92016806722688</v>
      </c>
    </row>
    <row r="7" spans="1:41" s="10" customFormat="1" ht="20.100000000000001" customHeight="1" x14ac:dyDescent="0.25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11">
        <f t="shared" si="4"/>
        <v>35.5</v>
      </c>
      <c r="S7" s="12">
        <f t="shared" si="5"/>
        <v>101.42857142857142</v>
      </c>
      <c r="T7" s="70">
        <v>35</v>
      </c>
      <c r="U7" s="163">
        <v>48</v>
      </c>
      <c r="V7" s="164">
        <v>21</v>
      </c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69</v>
      </c>
      <c r="AI7" s="11">
        <f t="shared" si="7"/>
        <v>2</v>
      </c>
      <c r="AJ7" s="12">
        <f t="shared" si="8"/>
        <v>34.5</v>
      </c>
      <c r="AK7" s="77"/>
      <c r="AL7" s="124">
        <f t="shared" si="9"/>
        <v>282</v>
      </c>
      <c r="AM7" s="95">
        <f t="shared" si="10"/>
        <v>8</v>
      </c>
      <c r="AN7" s="11">
        <f t="shared" si="11"/>
        <v>35.25</v>
      </c>
      <c r="AO7" s="12">
        <f t="shared" si="12"/>
        <v>100.71428571428571</v>
      </c>
    </row>
    <row r="8" spans="1:41" s="10" customFormat="1" ht="20.100000000000001" customHeight="1" x14ac:dyDescent="0.25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3">
        <v>17</v>
      </c>
      <c r="K8" s="164">
        <v>46</v>
      </c>
      <c r="L8" s="273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11">
        <f t="shared" si="4"/>
        <v>31</v>
      </c>
      <c r="S8" s="12">
        <f t="shared" si="5"/>
        <v>88.571428571428569</v>
      </c>
      <c r="T8" s="70">
        <v>35</v>
      </c>
      <c r="U8" s="163">
        <v>55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55</v>
      </c>
      <c r="AI8" s="11">
        <f t="shared" si="7"/>
        <v>1</v>
      </c>
      <c r="AJ8" s="12">
        <f t="shared" si="8"/>
        <v>55</v>
      </c>
      <c r="AK8" s="77"/>
      <c r="AL8" s="124">
        <f t="shared" si="9"/>
        <v>303</v>
      </c>
      <c r="AM8" s="95">
        <f t="shared" si="10"/>
        <v>9</v>
      </c>
      <c r="AN8" s="11">
        <f t="shared" si="11"/>
        <v>33.666666666666664</v>
      </c>
      <c r="AO8" s="12">
        <f t="shared" si="12"/>
        <v>96.19047619047619</v>
      </c>
    </row>
    <row r="9" spans="1:41" s="10" customFormat="1" ht="20.100000000000001" customHeight="1" x14ac:dyDescent="0.25">
      <c r="A9" s="26" t="s">
        <v>358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276">
        <v>20</v>
      </c>
      <c r="U9" s="163">
        <v>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</v>
      </c>
      <c r="AI9" s="11">
        <f t="shared" si="7"/>
        <v>1</v>
      </c>
      <c r="AJ9" s="12">
        <f t="shared" si="8"/>
        <v>5</v>
      </c>
      <c r="AK9" s="77"/>
      <c r="AL9" s="124">
        <f t="shared" si="9"/>
        <v>86</v>
      </c>
      <c r="AM9" s="95">
        <f t="shared" si="10"/>
        <v>5</v>
      </c>
      <c r="AN9" s="11">
        <f t="shared" si="11"/>
        <v>17.2</v>
      </c>
      <c r="AO9" s="12">
        <f t="shared" si="12"/>
        <v>86</v>
      </c>
    </row>
    <row r="10" spans="1:41" s="10" customFormat="1" ht="20.100000000000001" customHeight="1" x14ac:dyDescent="0.25">
      <c r="A10" s="26" t="s">
        <v>359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3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11">
        <f t="shared" si="4"/>
        <v>15.727272727272727</v>
      </c>
      <c r="S10" s="12">
        <f t="shared" si="5"/>
        <v>104.84848484848486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173</v>
      </c>
      <c r="AM10" s="95">
        <f t="shared" si="10"/>
        <v>11</v>
      </c>
      <c r="AN10" s="11">
        <f t="shared" si="11"/>
        <v>15.727272727272727</v>
      </c>
      <c r="AO10" s="12">
        <f t="shared" si="12"/>
        <v>104.84848484848486</v>
      </c>
    </row>
    <row r="11" spans="1:41" s="10" customFormat="1" ht="20.100000000000001" customHeight="1" x14ac:dyDescent="0.25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25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>
        <v>17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17</v>
      </c>
      <c r="AI12" s="11">
        <f t="shared" si="7"/>
        <v>1</v>
      </c>
      <c r="AJ12" s="12">
        <f t="shared" si="8"/>
        <v>17</v>
      </c>
      <c r="AK12" s="77"/>
      <c r="AL12" s="124">
        <f t="shared" si="9"/>
        <v>115</v>
      </c>
      <c r="AM12" s="95">
        <f t="shared" si="10"/>
        <v>7</v>
      </c>
      <c r="AN12" s="11">
        <f t="shared" si="11"/>
        <v>16.428571428571427</v>
      </c>
      <c r="AO12" s="12">
        <f t="shared" si="12"/>
        <v>86.46616541353383</v>
      </c>
    </row>
    <row r="13" spans="1:41" s="10" customFormat="1" ht="20.100000000000001" customHeight="1" x14ac:dyDescent="0.25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3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>
        <v>28</v>
      </c>
      <c r="V13" s="164">
        <v>24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52</v>
      </c>
      <c r="AI13" s="11">
        <f t="shared" si="7"/>
        <v>2</v>
      </c>
      <c r="AJ13" s="12">
        <f t="shared" si="8"/>
        <v>26</v>
      </c>
      <c r="AK13" s="77"/>
      <c r="AL13" s="124">
        <f t="shared" si="9"/>
        <v>235</v>
      </c>
      <c r="AM13" s="95">
        <f t="shared" si="10"/>
        <v>10</v>
      </c>
      <c r="AN13" s="11">
        <f t="shared" si="11"/>
        <v>23.5</v>
      </c>
      <c r="AO13" s="12">
        <f t="shared" si="12"/>
        <v>102.17391304347827</v>
      </c>
    </row>
    <row r="14" spans="1:41" s="10" customFormat="1" ht="20.100000000000001" customHeight="1" x14ac:dyDescent="0.25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25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25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25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218</v>
      </c>
      <c r="P19" s="19">
        <f t="shared" si="15"/>
        <v>2489</v>
      </c>
      <c r="Q19" s="19">
        <f t="shared" si="15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446</v>
      </c>
      <c r="AI19" s="18">
        <f>SUM(AI4:AI18)</f>
        <v>12</v>
      </c>
      <c r="AJ19" s="23">
        <f>AH19/AI19</f>
        <v>37.166666666666664</v>
      </c>
      <c r="AK19" s="78"/>
      <c r="AL19" s="24">
        <f>SUM(AL4:AL18)</f>
        <v>2935</v>
      </c>
      <c r="AM19" s="18">
        <f>SUM(AM4:AM18)</f>
        <v>90</v>
      </c>
      <c r="AN19" s="18">
        <f t="shared" ref="AN19" si="18">AL19/AM19</f>
        <v>32.611111111111114</v>
      </c>
      <c r="AO19" s="20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Normal="100" workbookViewId="0">
      <selection activeCell="AG14" sqref="AG14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5" width="4.5703125" customWidth="1"/>
    <col min="36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28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128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>
        <v>17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17</v>
      </c>
      <c r="AI4" s="8">
        <f>COUNTIF(U4:AG4,"&gt;0")</f>
        <v>1</v>
      </c>
      <c r="AJ4" s="94">
        <f>IF(AH4=0," ",AH4/AI4)</f>
        <v>17</v>
      </c>
      <c r="AK4" s="77"/>
      <c r="AL4" s="122">
        <f t="shared" ref="AL4" si="0">P4+AH4</f>
        <v>227</v>
      </c>
      <c r="AM4" s="123">
        <f t="shared" ref="AM4" si="1">Q4+AI4</f>
        <v>8</v>
      </c>
      <c r="AN4" s="8">
        <f>IF(AL4=0," ",AL4/AM4)</f>
        <v>28.375</v>
      </c>
      <c r="AO4" s="94">
        <f>IF(AL4=0," ",AL4/(AM4*T4)*100)</f>
        <v>118.22916666666667</v>
      </c>
    </row>
    <row r="5" spans="1:41" s="10" customFormat="1" ht="20.100000000000001" customHeight="1" x14ac:dyDescent="0.25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11">
        <f t="shared" ref="R5:R18" si="4">IF(P5=0," ",P5/Q5)</f>
        <v>31</v>
      </c>
      <c r="S5" s="12">
        <f t="shared" ref="S5:S18" si="5">IF(P5=0," ",P5/(Q5*B5)*100)</f>
        <v>114.81481481481481</v>
      </c>
      <c r="T5" s="70">
        <v>27</v>
      </c>
      <c r="U5" s="163"/>
      <c r="V5" s="164">
        <v>14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14</v>
      </c>
      <c r="AI5" s="11">
        <f t="shared" ref="AI5:AI18" si="7">COUNTIF(U5:AG5,"&gt;0")</f>
        <v>1</v>
      </c>
      <c r="AJ5" s="12">
        <f t="shared" ref="AJ5:AJ18" si="8">IF(AH5=0," ",AH5/AI5)</f>
        <v>14</v>
      </c>
      <c r="AK5" s="77"/>
      <c r="AL5" s="124">
        <f t="shared" ref="AL5:AL18" si="9">P5+AH5</f>
        <v>169</v>
      </c>
      <c r="AM5" s="95">
        <f t="shared" ref="AM5:AM18" si="10">Q5+AI5</f>
        <v>6</v>
      </c>
      <c r="AN5" s="11">
        <f t="shared" ref="AN5:AN18" si="11">IF(AL5=0," ",AL5/AM5)</f>
        <v>28.166666666666668</v>
      </c>
      <c r="AO5" s="12">
        <f t="shared" ref="AO5:AO18" si="12">IF(AL5=0," ",AL5/(AM5*T5)*100)</f>
        <v>104.32098765432099</v>
      </c>
    </row>
    <row r="6" spans="1:41" s="10" customFormat="1" ht="20.100000000000001" customHeight="1" x14ac:dyDescent="0.25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25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>
        <v>44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44</v>
      </c>
      <c r="AI7" s="11">
        <f t="shared" si="7"/>
        <v>1</v>
      </c>
      <c r="AJ7" s="12">
        <f t="shared" si="8"/>
        <v>44</v>
      </c>
      <c r="AK7" s="77"/>
      <c r="AL7" s="124">
        <f t="shared" si="9"/>
        <v>290</v>
      </c>
      <c r="AM7" s="95">
        <f t="shared" si="10"/>
        <v>9</v>
      </c>
      <c r="AN7" s="11">
        <f t="shared" si="11"/>
        <v>32.222222222222221</v>
      </c>
      <c r="AO7" s="12">
        <f t="shared" si="12"/>
        <v>111.11111111111111</v>
      </c>
    </row>
    <row r="8" spans="1:41" s="10" customFormat="1" ht="20.100000000000001" customHeight="1" x14ac:dyDescent="0.25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25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11">
        <f t="shared" si="4"/>
        <v>18.285714285714285</v>
      </c>
      <c r="S9" s="12">
        <f t="shared" si="5"/>
        <v>101.58730158730158</v>
      </c>
      <c r="T9" s="70">
        <v>18</v>
      </c>
      <c r="U9" s="163">
        <v>11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11</v>
      </c>
      <c r="AI9" s="11">
        <f t="shared" si="7"/>
        <v>1</v>
      </c>
      <c r="AJ9" s="12">
        <f t="shared" si="8"/>
        <v>11</v>
      </c>
      <c r="AK9" s="77"/>
      <c r="AL9" s="124">
        <f t="shared" si="9"/>
        <v>139</v>
      </c>
      <c r="AM9" s="95">
        <f t="shared" si="10"/>
        <v>8</v>
      </c>
      <c r="AN9" s="11">
        <f t="shared" si="11"/>
        <v>17.375</v>
      </c>
      <c r="AO9" s="12">
        <f t="shared" si="12"/>
        <v>96.527777777777786</v>
      </c>
    </row>
    <row r="10" spans="1:41" s="10" customFormat="1" ht="20.100000000000001" customHeight="1" x14ac:dyDescent="0.25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11">
        <f t="shared" si="4"/>
        <v>21.166666666666668</v>
      </c>
      <c r="S10" s="12">
        <f t="shared" si="5"/>
        <v>75.595238095238088</v>
      </c>
      <c r="T10" s="70">
        <v>28</v>
      </c>
      <c r="U10" s="163"/>
      <c r="V10" s="164">
        <v>22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22</v>
      </c>
      <c r="AI10" s="11">
        <f t="shared" si="7"/>
        <v>1</v>
      </c>
      <c r="AJ10" s="12">
        <f t="shared" si="8"/>
        <v>22</v>
      </c>
      <c r="AK10" s="77"/>
      <c r="AL10" s="124">
        <f t="shared" si="9"/>
        <v>149</v>
      </c>
      <c r="AM10" s="95">
        <f t="shared" si="10"/>
        <v>7</v>
      </c>
      <c r="AN10" s="11">
        <f t="shared" si="11"/>
        <v>21.285714285714285</v>
      </c>
      <c r="AO10" s="12">
        <f t="shared" si="12"/>
        <v>76.020408163265301</v>
      </c>
    </row>
    <row r="11" spans="1:41" s="10" customFormat="1" ht="20.100000000000001" customHeight="1" x14ac:dyDescent="0.25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>
        <v>52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52</v>
      </c>
      <c r="AI11" s="11">
        <f t="shared" si="7"/>
        <v>1</v>
      </c>
      <c r="AJ11" s="12">
        <f t="shared" si="8"/>
        <v>52</v>
      </c>
      <c r="AK11" s="77"/>
      <c r="AL11" s="124">
        <f t="shared" si="9"/>
        <v>367</v>
      </c>
      <c r="AM11" s="95">
        <f t="shared" si="10"/>
        <v>6</v>
      </c>
      <c r="AN11" s="11">
        <f t="shared" si="11"/>
        <v>61.166666666666664</v>
      </c>
      <c r="AO11" s="12">
        <f t="shared" si="12"/>
        <v>98.655913978494624</v>
      </c>
    </row>
    <row r="12" spans="1:41" s="10" customFormat="1" ht="20.100000000000001" customHeight="1" x14ac:dyDescent="0.25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>
        <v>38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38</v>
      </c>
      <c r="AI12" s="11">
        <f t="shared" si="7"/>
        <v>1</v>
      </c>
      <c r="AJ12" s="12">
        <f t="shared" si="8"/>
        <v>38</v>
      </c>
      <c r="AK12" s="77"/>
      <c r="AL12" s="124">
        <f t="shared" si="9"/>
        <v>177</v>
      </c>
      <c r="AM12" s="95">
        <f t="shared" si="10"/>
        <v>6</v>
      </c>
      <c r="AN12" s="11">
        <f t="shared" si="11"/>
        <v>29.5</v>
      </c>
      <c r="AO12" s="12">
        <f t="shared" si="12"/>
        <v>118</v>
      </c>
    </row>
    <row r="13" spans="1:41" s="10" customFormat="1" ht="20.100000000000001" customHeight="1" x14ac:dyDescent="0.25">
      <c r="A13" s="26" t="s">
        <v>369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276">
        <v>25</v>
      </c>
      <c r="U13" s="163"/>
      <c r="V13" s="164">
        <v>24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24</v>
      </c>
      <c r="AI13" s="11">
        <f t="shared" si="7"/>
        <v>1</v>
      </c>
      <c r="AJ13" s="12">
        <f t="shared" si="8"/>
        <v>24</v>
      </c>
      <c r="AK13" s="77"/>
      <c r="AL13" s="124">
        <f t="shared" si="9"/>
        <v>151</v>
      </c>
      <c r="AM13" s="95">
        <f t="shared" si="10"/>
        <v>6</v>
      </c>
      <c r="AN13" s="11">
        <f t="shared" si="11"/>
        <v>25.166666666666668</v>
      </c>
      <c r="AO13" s="12">
        <f t="shared" si="12"/>
        <v>100.66666666666666</v>
      </c>
    </row>
    <row r="14" spans="1:41" s="10" customFormat="1" ht="20.100000000000001" customHeight="1" x14ac:dyDescent="0.25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11">
        <f t="shared" si="4"/>
        <v>28.571428571428573</v>
      </c>
      <c r="S14" s="12">
        <f t="shared" si="5"/>
        <v>84.033613445378151</v>
      </c>
      <c r="T14" s="70">
        <v>34</v>
      </c>
      <c r="U14" s="163">
        <v>18</v>
      </c>
      <c r="V14" s="164">
        <v>34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52</v>
      </c>
      <c r="AI14" s="11">
        <f t="shared" si="7"/>
        <v>2</v>
      </c>
      <c r="AJ14" s="12">
        <f t="shared" si="8"/>
        <v>26</v>
      </c>
      <c r="AK14" s="77"/>
      <c r="AL14" s="124">
        <f t="shared" si="9"/>
        <v>252</v>
      </c>
      <c r="AM14" s="95">
        <f t="shared" si="10"/>
        <v>9</v>
      </c>
      <c r="AN14" s="11">
        <f t="shared" si="11"/>
        <v>28</v>
      </c>
      <c r="AO14" s="12">
        <f t="shared" si="12"/>
        <v>82.35294117647058</v>
      </c>
    </row>
    <row r="15" spans="1:41" s="10" customFormat="1" ht="20.100000000000001" customHeight="1" x14ac:dyDescent="0.25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11">
        <f t="shared" si="4"/>
        <v>17.142857142857142</v>
      </c>
      <c r="S15" s="12">
        <f t="shared" si="5"/>
        <v>100.84033613445378</v>
      </c>
      <c r="T15" s="70">
        <v>17</v>
      </c>
      <c r="U15" s="163">
        <v>22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22</v>
      </c>
      <c r="AI15" s="11">
        <f t="shared" si="7"/>
        <v>1</v>
      </c>
      <c r="AJ15" s="12">
        <f t="shared" si="8"/>
        <v>22</v>
      </c>
      <c r="AK15" s="77"/>
      <c r="AL15" s="124">
        <f t="shared" si="9"/>
        <v>142</v>
      </c>
      <c r="AM15" s="95">
        <f t="shared" si="10"/>
        <v>8</v>
      </c>
      <c r="AN15" s="11">
        <f t="shared" si="11"/>
        <v>17.75</v>
      </c>
      <c r="AO15" s="12">
        <f t="shared" si="12"/>
        <v>104.41176470588236</v>
      </c>
    </row>
    <row r="16" spans="1:41" s="10" customFormat="1" ht="20.100000000000001" customHeight="1" x14ac:dyDescent="0.25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25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11">
        <f t="shared" si="4"/>
        <v>43.333333333333336</v>
      </c>
      <c r="S17" s="12">
        <f t="shared" si="5"/>
        <v>117.11711711711712</v>
      </c>
      <c r="T17" s="70">
        <v>37</v>
      </c>
      <c r="U17" s="163"/>
      <c r="V17" s="164">
        <v>41</v>
      </c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41</v>
      </c>
      <c r="AI17" s="11">
        <f t="shared" si="7"/>
        <v>1</v>
      </c>
      <c r="AJ17" s="12">
        <f t="shared" si="8"/>
        <v>41</v>
      </c>
      <c r="AK17" s="77"/>
      <c r="AL17" s="124">
        <f t="shared" si="9"/>
        <v>301</v>
      </c>
      <c r="AM17" s="95">
        <f t="shared" si="10"/>
        <v>7</v>
      </c>
      <c r="AN17" s="11">
        <f t="shared" si="11"/>
        <v>43</v>
      </c>
      <c r="AO17" s="12">
        <f t="shared" si="12"/>
        <v>116.21621621621621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199</v>
      </c>
      <c r="P19" s="19">
        <f t="shared" si="13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4">SUM(U4:U18)</f>
        <v>185</v>
      </c>
      <c r="V19" s="19">
        <f t="shared" si="14"/>
        <v>152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337</v>
      </c>
      <c r="AI19" s="18">
        <f t="shared" si="14"/>
        <v>12</v>
      </c>
      <c r="AJ19" s="23">
        <f>AH19/AI19</f>
        <v>28.083333333333332</v>
      </c>
      <c r="AK19" s="78"/>
      <c r="AL19" s="24">
        <f>SUM(AL4:AL18)</f>
        <v>2730</v>
      </c>
      <c r="AM19" s="18">
        <f>SUM(AM4:AM18)</f>
        <v>90</v>
      </c>
      <c r="AN19" s="18">
        <f t="shared" ref="AN19" si="16">AL19/AM19</f>
        <v>30.333333333333332</v>
      </c>
      <c r="AO19" s="20"/>
    </row>
    <row r="24" spans="1:41" x14ac:dyDescent="0.25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115" zoomScaleNormal="115" workbookViewId="0">
      <selection activeCell="V8" sqref="V8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5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5" ht="121.5" customHeight="1" thickBot="1" x14ac:dyDescent="0.3">
      <c r="A2" s="328" t="s">
        <v>142</v>
      </c>
      <c r="B2" s="310" t="s">
        <v>42</v>
      </c>
      <c r="C2" s="312" t="s">
        <v>98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99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5" ht="15" customHeight="1" thickBot="1" x14ac:dyDescent="0.3">
      <c r="A3" s="32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8">
        <f>IF(P4=0," ",P4/Q4)</f>
        <v>40.333333333333336</v>
      </c>
      <c r="S4" s="94">
        <f>IF(P4=0," ",P4/(Q4*B4)*100)</f>
        <v>106.14035087719299</v>
      </c>
      <c r="T4" s="70">
        <v>38</v>
      </c>
      <c r="U4" s="160">
        <v>36</v>
      </c>
      <c r="V4" s="161">
        <v>43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79</v>
      </c>
      <c r="AI4" s="8">
        <f>COUNTIF(U4:AG4,"&gt;0")</f>
        <v>2</v>
      </c>
      <c r="AJ4" s="94">
        <f>IF(AH4=0," ",AH4/AI4)</f>
        <v>39.5</v>
      </c>
      <c r="AK4" s="77"/>
      <c r="AL4" s="122">
        <f t="shared" ref="AL4" si="0">P4+AH4</f>
        <v>442</v>
      </c>
      <c r="AM4" s="123">
        <f t="shared" ref="AM4" si="1">Q4+AI4</f>
        <v>11</v>
      </c>
      <c r="AN4" s="8">
        <f>IF(AL4=0," ",AL4/AM4)</f>
        <v>40.18181818181818</v>
      </c>
      <c r="AO4" s="94">
        <f>IF(AL4=0," ",AL4/(AM4*T4)*100)</f>
        <v>105.74162679425838</v>
      </c>
      <c r="AS4" s="225"/>
    </row>
    <row r="5" spans="1:45" s="10" customFormat="1" ht="20.100000000000001" customHeight="1" x14ac:dyDescent="0.25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11">
        <f t="shared" ref="R5:R18" si="4">IF(P5=0," ",P5/Q5)</f>
        <v>18.857142857142858</v>
      </c>
      <c r="S5" s="12">
        <f t="shared" ref="S5:S18" si="5">IF(P5=0," ",P5/(Q5*B5)*100)</f>
        <v>94.285714285714278</v>
      </c>
      <c r="T5" s="70">
        <v>20</v>
      </c>
      <c r="U5" s="163"/>
      <c r="V5" s="164">
        <v>10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10</v>
      </c>
      <c r="AI5" s="11">
        <f t="shared" ref="AI5:AI18" si="7">COUNTIF(U5:AG5,"&gt;0")</f>
        <v>1</v>
      </c>
      <c r="AJ5" s="12">
        <f t="shared" ref="AJ5:AJ18" si="8">IF(AH5=0," ",AH5/AI5)</f>
        <v>10</v>
      </c>
      <c r="AK5" s="77"/>
      <c r="AL5" s="124">
        <f t="shared" ref="AL5:AL18" si="9">P5+AH5</f>
        <v>142</v>
      </c>
      <c r="AM5" s="95">
        <f t="shared" ref="AM5:AM18" si="10">Q5+AI5</f>
        <v>8</v>
      </c>
      <c r="AN5" s="11">
        <f t="shared" ref="AN5:AN18" si="11">IF(AL5=0," ",AL5/AM5)</f>
        <v>17.75</v>
      </c>
      <c r="AO5" s="12">
        <f t="shared" ref="AO5:AO18" si="12">IF(AL5=0," ",AL5/(AM5*T5)*100)</f>
        <v>88.75</v>
      </c>
    </row>
    <row r="6" spans="1:45" s="10" customFormat="1" ht="20.100000000000001" customHeight="1" x14ac:dyDescent="0.25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>
        <v>16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16</v>
      </c>
      <c r="AI6" s="11">
        <f t="shared" si="7"/>
        <v>1</v>
      </c>
      <c r="AJ6" s="12">
        <f t="shared" si="8"/>
        <v>16</v>
      </c>
      <c r="AK6" s="77"/>
      <c r="AL6" s="124">
        <f t="shared" si="9"/>
        <v>125</v>
      </c>
      <c r="AM6" s="95">
        <f t="shared" si="10"/>
        <v>10</v>
      </c>
      <c r="AN6" s="11">
        <f t="shared" si="11"/>
        <v>12.5</v>
      </c>
      <c r="AO6" s="12">
        <f t="shared" si="12"/>
        <v>83.333333333333343</v>
      </c>
    </row>
    <row r="7" spans="1:45" s="10" customFormat="1" ht="20.100000000000001" customHeight="1" x14ac:dyDescent="0.25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>
        <v>93</v>
      </c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93</v>
      </c>
      <c r="AI7" s="11">
        <f t="shared" si="7"/>
        <v>1</v>
      </c>
      <c r="AJ7" s="12">
        <f t="shared" si="8"/>
        <v>93</v>
      </c>
      <c r="AK7" s="77"/>
      <c r="AL7" s="124">
        <f t="shared" si="9"/>
        <v>831</v>
      </c>
      <c r="AM7" s="95">
        <f t="shared" si="10"/>
        <v>11</v>
      </c>
      <c r="AN7" s="11">
        <f t="shared" si="11"/>
        <v>75.545454545454547</v>
      </c>
      <c r="AO7" s="12">
        <f t="shared" si="12"/>
        <v>95.627157652474111</v>
      </c>
    </row>
    <row r="8" spans="1:45" s="10" customFormat="1" ht="20.100000000000001" customHeight="1" x14ac:dyDescent="0.25">
      <c r="A8" s="26" t="s">
        <v>311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25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11">
        <f t="shared" si="4"/>
        <v>44</v>
      </c>
      <c r="S9" s="12">
        <f t="shared" si="5"/>
        <v>118.91891891891892</v>
      </c>
      <c r="T9" s="70">
        <v>37</v>
      </c>
      <c r="U9" s="163">
        <v>20</v>
      </c>
      <c r="V9" s="164">
        <v>29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49</v>
      </c>
      <c r="AI9" s="11">
        <f t="shared" si="7"/>
        <v>2</v>
      </c>
      <c r="AJ9" s="12">
        <f t="shared" si="8"/>
        <v>24.5</v>
      </c>
      <c r="AK9" s="77"/>
      <c r="AL9" s="124">
        <f t="shared" si="9"/>
        <v>533</v>
      </c>
      <c r="AM9" s="95">
        <f t="shared" si="10"/>
        <v>13</v>
      </c>
      <c r="AN9" s="11">
        <f t="shared" si="11"/>
        <v>41</v>
      </c>
      <c r="AO9" s="224">
        <f t="shared" si="12"/>
        <v>110.81081081081081</v>
      </c>
    </row>
    <row r="10" spans="1:45" s="10" customFormat="1" ht="20.100000000000001" customHeight="1" x14ac:dyDescent="0.25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>
        <v>15</v>
      </c>
      <c r="V10" s="164">
        <v>28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43</v>
      </c>
      <c r="AI10" s="11">
        <f t="shared" si="7"/>
        <v>2</v>
      </c>
      <c r="AJ10" s="12">
        <f t="shared" si="8"/>
        <v>21.5</v>
      </c>
      <c r="AK10" s="77"/>
      <c r="AL10" s="124">
        <f t="shared" si="9"/>
        <v>189</v>
      </c>
      <c r="AM10" s="95">
        <f t="shared" si="10"/>
        <v>8</v>
      </c>
      <c r="AN10" s="11">
        <f t="shared" si="11"/>
        <v>23.625</v>
      </c>
      <c r="AO10" s="12">
        <f t="shared" si="12"/>
        <v>118.12499999999999</v>
      </c>
    </row>
    <row r="11" spans="1:45" s="10" customFormat="1" ht="20.100000000000001" customHeight="1" x14ac:dyDescent="0.25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25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25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11">
        <f t="shared" si="4"/>
        <v>26.375</v>
      </c>
      <c r="S13" s="12">
        <f t="shared" si="5"/>
        <v>109.89583333333333</v>
      </c>
      <c r="T13" s="70">
        <v>24</v>
      </c>
      <c r="U13" s="163">
        <v>19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19</v>
      </c>
      <c r="AI13" s="11">
        <f t="shared" si="7"/>
        <v>1</v>
      </c>
      <c r="AJ13" s="12">
        <f t="shared" si="8"/>
        <v>19</v>
      </c>
      <c r="AK13" s="77"/>
      <c r="AL13" s="124">
        <f t="shared" si="9"/>
        <v>230</v>
      </c>
      <c r="AM13" s="95">
        <f t="shared" si="10"/>
        <v>9</v>
      </c>
      <c r="AN13" s="11">
        <f t="shared" si="11"/>
        <v>25.555555555555557</v>
      </c>
      <c r="AO13" s="12">
        <f t="shared" si="12"/>
        <v>106.4814814814815</v>
      </c>
    </row>
    <row r="14" spans="1:45" s="10" customFormat="1" ht="20.100000000000001" customHeight="1" x14ac:dyDescent="0.25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11">
        <f t="shared" si="4"/>
        <v>22.6</v>
      </c>
      <c r="S14" s="12">
        <f t="shared" si="5"/>
        <v>102.72727272727273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113</v>
      </c>
      <c r="AM14" s="95">
        <f t="shared" si="10"/>
        <v>5</v>
      </c>
      <c r="AN14" s="11">
        <f t="shared" si="11"/>
        <v>22.6</v>
      </c>
      <c r="AO14" s="12">
        <f t="shared" si="12"/>
        <v>102.72727272727273</v>
      </c>
    </row>
    <row r="15" spans="1:45" s="10" customFormat="1" ht="20.100000000000001" customHeight="1" x14ac:dyDescent="0.25">
      <c r="A15" s="26" t="s">
        <v>312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11">
        <f t="shared" si="4"/>
        <v>22.857142857142858</v>
      </c>
      <c r="S15" s="12">
        <f t="shared" si="5"/>
        <v>99.378881987577643</v>
      </c>
      <c r="T15" s="70">
        <v>23</v>
      </c>
      <c r="U15" s="163">
        <v>14</v>
      </c>
      <c r="V15" s="164">
        <v>26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40</v>
      </c>
      <c r="AI15" s="11">
        <f t="shared" si="7"/>
        <v>2</v>
      </c>
      <c r="AJ15" s="12">
        <f t="shared" si="8"/>
        <v>20</v>
      </c>
      <c r="AK15" s="77"/>
      <c r="AL15" s="124">
        <f t="shared" si="9"/>
        <v>200</v>
      </c>
      <c r="AM15" s="95">
        <f t="shared" si="10"/>
        <v>9</v>
      </c>
      <c r="AN15" s="11">
        <f t="shared" si="11"/>
        <v>22.222222222222221</v>
      </c>
      <c r="AO15" s="12">
        <f t="shared" si="12"/>
        <v>96.618357487922708</v>
      </c>
    </row>
    <row r="16" spans="1:45" s="10" customFormat="1" ht="20.100000000000001" customHeight="1" x14ac:dyDescent="0.25">
      <c r="A16" s="26" t="s">
        <v>374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280">
        <v>20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25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140</v>
      </c>
      <c r="P19" s="19">
        <f t="shared" si="14"/>
        <v>2620</v>
      </c>
      <c r="Q19" s="19">
        <f t="shared" si="14"/>
        <v>78</v>
      </c>
      <c r="R19" s="19">
        <f>P19/Q19</f>
        <v>33.589743589743591</v>
      </c>
      <c r="S19" s="22"/>
      <c r="T19" s="179">
        <f>SUM(T4:T18)</f>
        <v>435</v>
      </c>
      <c r="U19" s="21">
        <f>SUM(U4:U15)</f>
        <v>120</v>
      </c>
      <c r="V19" s="19">
        <f>SUM(V4:V15)</f>
        <v>229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349</v>
      </c>
      <c r="AI19" s="18">
        <f>SUM(AI4:AI15)</f>
        <v>12</v>
      </c>
      <c r="AJ19" s="23">
        <f>AH19/AI19</f>
        <v>29.083333333333332</v>
      </c>
      <c r="AK19" s="78"/>
      <c r="AL19" s="282">
        <f>SUM(AL4:AL18)</f>
        <v>2969</v>
      </c>
      <c r="AM19" s="18">
        <f>SUM(AM4:AM15)</f>
        <v>90</v>
      </c>
      <c r="AN19" s="18">
        <f t="shared" ref="AN19" si="17">AL19/AM19</f>
        <v>32.988888888888887</v>
      </c>
      <c r="AO19" s="20"/>
    </row>
    <row r="24" spans="1:41" x14ac:dyDescent="0.25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115" zoomScaleNormal="115" workbookViewId="0">
      <selection activeCell="AT18" sqref="AT18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style="74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30</v>
      </c>
      <c r="B2" s="310" t="s">
        <v>42</v>
      </c>
      <c r="C2" s="312" t="s">
        <v>153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77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>
        <v>21</v>
      </c>
      <c r="V4" s="161">
        <v>20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41</v>
      </c>
      <c r="AI4" s="8">
        <f>COUNTIF(U4:AG4,"&gt;0")</f>
        <v>2</v>
      </c>
      <c r="AJ4" s="94">
        <f>IF(AH4=0," ",AH4/AI4)</f>
        <v>20.5</v>
      </c>
      <c r="AK4" s="77"/>
      <c r="AL4" s="122">
        <f t="shared" ref="AL4" si="1">P4+AH4</f>
        <v>221</v>
      </c>
      <c r="AM4" s="123">
        <f t="shared" ref="AM4" si="2">Q4+AI4</f>
        <v>11</v>
      </c>
      <c r="AN4" s="8">
        <f>IF(AL4=0," ",AL4/AM4)</f>
        <v>20.09090909090909</v>
      </c>
      <c r="AO4" s="94">
        <f>IF(AL4=0," ",AL4/(AM4*T4)*100)</f>
        <v>105.74162679425838</v>
      </c>
    </row>
    <row r="5" spans="1:41" s="10" customFormat="1" ht="20.100000000000001" customHeight="1" x14ac:dyDescent="0.25">
      <c r="A5" s="26" t="s">
        <v>313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>
        <v>25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25</v>
      </c>
      <c r="AI5" s="11">
        <f t="shared" ref="AI5:AI18" si="8">COUNTIF(U5:AG5,"&gt;0")</f>
        <v>1</v>
      </c>
      <c r="AJ5" s="12">
        <f t="shared" ref="AJ5:AJ18" si="9">IF(AH5=0," ",AH5/AI5)</f>
        <v>25</v>
      </c>
      <c r="AK5" s="77"/>
      <c r="AL5" s="124">
        <f t="shared" ref="AL5:AL18" si="10">P5+AH5</f>
        <v>169</v>
      </c>
      <c r="AM5" s="95">
        <f t="shared" ref="AM5:AM18" si="11">Q5+AI5</f>
        <v>11</v>
      </c>
      <c r="AN5" s="11">
        <f t="shared" ref="AN5:AN18" si="12">IF(AL5=0," ",AL5/AM5)</f>
        <v>15.363636363636363</v>
      </c>
      <c r="AO5" s="12">
        <f t="shared" ref="AO5:AO18" si="13">IF(AL5=0," ",AL5/(AM5*T5)*100)</f>
        <v>85.353535353535349</v>
      </c>
    </row>
    <row r="6" spans="1:41" s="10" customFormat="1" ht="20.100000000000001" customHeight="1" x14ac:dyDescent="0.25">
      <c r="A6" s="69" t="s">
        <v>362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>
        <v>80</v>
      </c>
      <c r="V6" s="164">
        <v>49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129</v>
      </c>
      <c r="AI6" s="11">
        <f t="shared" si="8"/>
        <v>2</v>
      </c>
      <c r="AJ6" s="12">
        <f t="shared" si="9"/>
        <v>64.5</v>
      </c>
      <c r="AK6" s="77"/>
      <c r="AL6" s="124">
        <f t="shared" si="10"/>
        <v>461</v>
      </c>
      <c r="AM6" s="95">
        <f t="shared" si="11"/>
        <v>8</v>
      </c>
      <c r="AN6" s="11">
        <f t="shared" si="12"/>
        <v>57.625</v>
      </c>
      <c r="AO6" s="12">
        <f t="shared" si="13"/>
        <v>84.742647058823522</v>
      </c>
    </row>
    <row r="7" spans="1:41" s="10" customFormat="1" ht="20.100000000000001" customHeight="1" x14ac:dyDescent="0.25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11">
        <f t="shared" si="5"/>
        <v>26.428571428571427</v>
      </c>
      <c r="S7" s="12">
        <f t="shared" si="6"/>
        <v>110.11904761904762</v>
      </c>
      <c r="T7" s="70">
        <v>24</v>
      </c>
      <c r="U7" s="163">
        <v>20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20</v>
      </c>
      <c r="AI7" s="11">
        <f t="shared" si="8"/>
        <v>1</v>
      </c>
      <c r="AJ7" s="12">
        <f t="shared" si="9"/>
        <v>20</v>
      </c>
      <c r="AK7" s="77"/>
      <c r="AL7" s="124">
        <f t="shared" si="10"/>
        <v>205</v>
      </c>
      <c r="AM7" s="95">
        <f t="shared" si="11"/>
        <v>8</v>
      </c>
      <c r="AN7" s="11">
        <f t="shared" si="12"/>
        <v>25.625</v>
      </c>
      <c r="AO7" s="12">
        <f t="shared" si="13"/>
        <v>106.77083333333333</v>
      </c>
    </row>
    <row r="8" spans="1:41" s="10" customFormat="1" ht="20.100000000000001" customHeight="1" x14ac:dyDescent="0.25">
      <c r="A8" s="26" t="s">
        <v>314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11">
        <f t="shared" si="5"/>
        <v>29.857142857142858</v>
      </c>
      <c r="S8" s="12">
        <f t="shared" si="6"/>
        <v>90.476190476190482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209</v>
      </c>
      <c r="AM8" s="95">
        <f t="shared" si="11"/>
        <v>7</v>
      </c>
      <c r="AN8" s="11">
        <f t="shared" si="12"/>
        <v>29.857142857142858</v>
      </c>
      <c r="AO8" s="12">
        <f t="shared" si="13"/>
        <v>90.476190476190482</v>
      </c>
    </row>
    <row r="9" spans="1:41" s="10" customFormat="1" ht="20.100000000000001" customHeight="1" x14ac:dyDescent="0.25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11">
        <f t="shared" si="5"/>
        <v>21.111111111111111</v>
      </c>
      <c r="S9" s="12">
        <f t="shared" si="6"/>
        <v>100.52910052910053</v>
      </c>
      <c r="T9" s="70">
        <v>21</v>
      </c>
      <c r="U9" s="163">
        <v>16</v>
      </c>
      <c r="V9" s="164">
        <v>12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28</v>
      </c>
      <c r="AI9" s="11">
        <f t="shared" si="8"/>
        <v>2</v>
      </c>
      <c r="AJ9" s="12">
        <f t="shared" si="9"/>
        <v>14</v>
      </c>
      <c r="AK9" s="77"/>
      <c r="AL9" s="124">
        <f t="shared" si="10"/>
        <v>218</v>
      </c>
      <c r="AM9" s="95">
        <f t="shared" si="11"/>
        <v>11</v>
      </c>
      <c r="AN9" s="11">
        <f t="shared" si="12"/>
        <v>19.818181818181817</v>
      </c>
      <c r="AO9" s="12">
        <f t="shared" si="13"/>
        <v>94.372294372294377</v>
      </c>
    </row>
    <row r="10" spans="1:41" s="10" customFormat="1" ht="20.100000000000001" customHeight="1" x14ac:dyDescent="0.25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25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11">
        <f t="shared" si="5"/>
        <v>20.125</v>
      </c>
      <c r="S11" s="12">
        <f t="shared" si="6"/>
        <v>74.537037037037038</v>
      </c>
      <c r="T11" s="70">
        <v>27</v>
      </c>
      <c r="U11" s="163"/>
      <c r="V11" s="164">
        <v>27</v>
      </c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27</v>
      </c>
      <c r="AI11" s="11">
        <f t="shared" si="8"/>
        <v>1</v>
      </c>
      <c r="AJ11" s="12">
        <f t="shared" si="9"/>
        <v>27</v>
      </c>
      <c r="AK11" s="77"/>
      <c r="AL11" s="124">
        <f t="shared" si="10"/>
        <v>188</v>
      </c>
      <c r="AM11" s="95">
        <f t="shared" si="11"/>
        <v>9</v>
      </c>
      <c r="AN11" s="11">
        <f t="shared" si="12"/>
        <v>20.888888888888889</v>
      </c>
      <c r="AO11" s="12">
        <f t="shared" si="13"/>
        <v>77.36625514403292</v>
      </c>
    </row>
    <row r="12" spans="1:41" s="10" customFormat="1" ht="20.100000000000001" customHeight="1" x14ac:dyDescent="0.25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11">
        <f t="shared" si="5"/>
        <v>29.90909090909091</v>
      </c>
      <c r="S12" s="12">
        <f t="shared" si="6"/>
        <v>87.967914438502675</v>
      </c>
      <c r="T12" s="70">
        <v>34</v>
      </c>
      <c r="U12" s="163">
        <v>40</v>
      </c>
      <c r="V12" s="164">
        <v>19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59</v>
      </c>
      <c r="AI12" s="11">
        <f t="shared" si="8"/>
        <v>2</v>
      </c>
      <c r="AJ12" s="12">
        <f t="shared" si="9"/>
        <v>29.5</v>
      </c>
      <c r="AK12" s="77"/>
      <c r="AL12" s="124">
        <f t="shared" si="10"/>
        <v>388</v>
      </c>
      <c r="AM12" s="95">
        <f t="shared" si="11"/>
        <v>13</v>
      </c>
      <c r="AN12" s="11">
        <f t="shared" si="12"/>
        <v>29.846153846153847</v>
      </c>
      <c r="AO12" s="12">
        <f t="shared" si="13"/>
        <v>87.782805429864254</v>
      </c>
    </row>
    <row r="13" spans="1:41" s="10" customFormat="1" ht="20.100000000000001" customHeight="1" x14ac:dyDescent="0.25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11">
        <f t="shared" si="5"/>
        <v>28.222222222222221</v>
      </c>
      <c r="S13" s="12">
        <f t="shared" si="6"/>
        <v>80.634920634920633</v>
      </c>
      <c r="T13" s="70">
        <v>35</v>
      </c>
      <c r="U13" s="163"/>
      <c r="V13" s="164">
        <v>26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26</v>
      </c>
      <c r="AI13" s="11">
        <f t="shared" si="8"/>
        <v>1</v>
      </c>
      <c r="AJ13" s="12">
        <f t="shared" si="9"/>
        <v>26</v>
      </c>
      <c r="AK13" s="77"/>
      <c r="AL13" s="124">
        <f t="shared" si="10"/>
        <v>280</v>
      </c>
      <c r="AM13" s="95">
        <f t="shared" si="11"/>
        <v>10</v>
      </c>
      <c r="AN13" s="11">
        <f t="shared" si="12"/>
        <v>28</v>
      </c>
      <c r="AO13" s="12">
        <f t="shared" si="13"/>
        <v>80</v>
      </c>
    </row>
    <row r="14" spans="1:41" s="10" customFormat="1" ht="20.100000000000001" customHeight="1" x14ac:dyDescent="0.25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25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25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25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355</v>
      </c>
      <c r="AI19" s="18">
        <f>SUM(AI4:AI18)</f>
        <v>12</v>
      </c>
      <c r="AJ19" s="23">
        <f>AH19/AI19</f>
        <v>29.583333333333332</v>
      </c>
      <c r="AK19" s="78"/>
      <c r="AL19" s="24">
        <f>SUM(AL4:AL18)</f>
        <v>2405</v>
      </c>
      <c r="AM19" s="18">
        <f>SUM(AM4:AM18)</f>
        <v>90</v>
      </c>
      <c r="AN19" s="18">
        <f t="shared" ref="AN19" si="18">AL19/AM19</f>
        <v>26.722222222222221</v>
      </c>
      <c r="AO19" s="20"/>
    </row>
    <row r="24" spans="1:41" x14ac:dyDescent="0.25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V8" sqref="V8"/>
    </sheetView>
  </sheetViews>
  <sheetFormatPr defaultRowHeight="15" x14ac:dyDescent="0.25"/>
  <cols>
    <col min="1" max="1" width="25.85546875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5" width="3.7109375" customWidth="1"/>
    <col min="36" max="36" width="4.7109375" customWidth="1"/>
    <col min="37" max="37" width="1.28515625" style="74" customWidth="1"/>
    <col min="38" max="38" width="5.28515625" customWidth="1"/>
    <col min="39" max="40" width="4.7109375" customWidth="1"/>
    <col min="41" max="41" width="8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3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31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161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03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297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8">
        <f>IF(P4=0," ",P4/Q4)</f>
        <v>16.2</v>
      </c>
      <c r="S4" s="94">
        <f t="shared" ref="S4" si="0">IF(P4=0," ",P4/(Q4*T4)*100)</f>
        <v>108</v>
      </c>
      <c r="T4" s="70">
        <v>15</v>
      </c>
      <c r="U4" s="160"/>
      <c r="V4" s="161">
        <v>9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9</v>
      </c>
      <c r="AI4" s="8">
        <f>COUNTIF(U4:AG4,"&gt;0")</f>
        <v>1</v>
      </c>
      <c r="AJ4" s="94">
        <f>IF(AH4=0," ",AH4/AI4)</f>
        <v>9</v>
      </c>
      <c r="AK4" s="77"/>
      <c r="AL4" s="122">
        <f>P4+AH4</f>
        <v>90</v>
      </c>
      <c r="AM4" s="123">
        <f>Q4+AI4</f>
        <v>6</v>
      </c>
      <c r="AN4" s="8">
        <f>IF(AL4=0," ",AL4/AM4)</f>
        <v>15</v>
      </c>
      <c r="AO4" s="94">
        <f>IF(AL4=0," ",AL4/(AM4*T4)*100)</f>
        <v>100</v>
      </c>
    </row>
    <row r="5" spans="1:41" s="10" customFormat="1" ht="20.100000000000001" customHeight="1" x14ac:dyDescent="0.25">
      <c r="A5" s="26" t="s">
        <v>298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11">
        <f t="shared" ref="R5:R18" si="3">IF(P5=0," ",P5/Q5)</f>
        <v>55.428571428571431</v>
      </c>
      <c r="S5" s="12">
        <f t="shared" ref="S5:S18" si="4">IF(P5=0," ",P5/(Q5*T5)*100)</f>
        <v>93.946731234866832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388</v>
      </c>
      <c r="AM5" s="95">
        <f t="shared" ref="AM5:AM18" si="9">Q5+AI5</f>
        <v>7</v>
      </c>
      <c r="AN5" s="11">
        <f t="shared" ref="AN5:AN18" si="10">IF(AL5=0," ",AL5/AM5)</f>
        <v>55.428571428571431</v>
      </c>
      <c r="AO5" s="12">
        <f t="shared" ref="AO5:AO18" si="11">IF(AL5=0," ",AL5/(AM5*T5)*100)</f>
        <v>93.946731234866832</v>
      </c>
    </row>
    <row r="6" spans="1:41" s="10" customFormat="1" ht="20.100000000000001" customHeight="1" x14ac:dyDescent="0.25">
      <c r="A6" s="26" t="s">
        <v>299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>
        <v>30</v>
      </c>
      <c r="V6" s="164">
        <v>30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60</v>
      </c>
      <c r="AI6" s="11">
        <f t="shared" si="6"/>
        <v>2</v>
      </c>
      <c r="AJ6" s="12">
        <f t="shared" si="7"/>
        <v>30</v>
      </c>
      <c r="AK6" s="77"/>
      <c r="AL6" s="124">
        <f t="shared" si="8"/>
        <v>357</v>
      </c>
      <c r="AM6" s="95">
        <f t="shared" si="9"/>
        <v>11</v>
      </c>
      <c r="AN6" s="11">
        <f t="shared" si="10"/>
        <v>32.454545454545453</v>
      </c>
      <c r="AO6" s="12">
        <f t="shared" si="11"/>
        <v>129.81818181818181</v>
      </c>
    </row>
    <row r="7" spans="1:41" s="10" customFormat="1" ht="20.100000000000001" customHeight="1" x14ac:dyDescent="0.25">
      <c r="A7" s="26" t="s">
        <v>300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>
        <v>29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29</v>
      </c>
      <c r="AI7" s="11">
        <f t="shared" si="6"/>
        <v>1</v>
      </c>
      <c r="AJ7" s="12">
        <f t="shared" si="7"/>
        <v>29</v>
      </c>
      <c r="AK7" s="77"/>
      <c r="AL7" s="124">
        <f t="shared" si="8"/>
        <v>291</v>
      </c>
      <c r="AM7" s="95">
        <f t="shared" si="9"/>
        <v>9</v>
      </c>
      <c r="AN7" s="11">
        <f t="shared" si="10"/>
        <v>32.333333333333336</v>
      </c>
      <c r="AO7" s="12">
        <f t="shared" si="11"/>
        <v>104.3010752688172</v>
      </c>
    </row>
    <row r="8" spans="1:41" s="10" customFormat="1" ht="20.100000000000001" customHeight="1" x14ac:dyDescent="0.25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11">
        <f t="shared" si="3"/>
        <v>42.285714285714285</v>
      </c>
      <c r="S8" s="12">
        <f t="shared" si="4"/>
        <v>105.71428571428572</v>
      </c>
      <c r="T8" s="70">
        <v>40</v>
      </c>
      <c r="U8" s="163">
        <v>38</v>
      </c>
      <c r="V8" s="164">
        <v>44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82</v>
      </c>
      <c r="AI8" s="11">
        <f t="shared" si="6"/>
        <v>2</v>
      </c>
      <c r="AJ8" s="12">
        <f t="shared" si="7"/>
        <v>41</v>
      </c>
      <c r="AK8" s="77"/>
      <c r="AL8" s="124">
        <f t="shared" si="8"/>
        <v>378</v>
      </c>
      <c r="AM8" s="95">
        <f t="shared" si="9"/>
        <v>9</v>
      </c>
      <c r="AN8" s="11">
        <f t="shared" si="10"/>
        <v>42</v>
      </c>
      <c r="AO8" s="12">
        <f t="shared" si="11"/>
        <v>105</v>
      </c>
    </row>
    <row r="9" spans="1:41" s="10" customFormat="1" ht="20.100000000000001" customHeight="1" x14ac:dyDescent="0.25">
      <c r="A9" s="26" t="s">
        <v>301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>
        <v>33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33</v>
      </c>
      <c r="AI9" s="11">
        <f t="shared" si="6"/>
        <v>1</v>
      </c>
      <c r="AJ9" s="12">
        <f t="shared" si="7"/>
        <v>33</v>
      </c>
      <c r="AK9" s="77"/>
      <c r="AL9" s="124">
        <f t="shared" si="8"/>
        <v>154</v>
      </c>
      <c r="AM9" s="95">
        <f t="shared" si="9"/>
        <v>6</v>
      </c>
      <c r="AN9" s="11">
        <f t="shared" si="10"/>
        <v>25.666666666666668</v>
      </c>
      <c r="AO9" s="12">
        <f t="shared" si="11"/>
        <v>75.490196078431367</v>
      </c>
    </row>
    <row r="10" spans="1:41" s="10" customFormat="1" ht="20.100000000000001" customHeight="1" x14ac:dyDescent="0.25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11">
        <f t="shared" si="3"/>
        <v>32.5</v>
      </c>
      <c r="S10" s="12">
        <f t="shared" si="4"/>
        <v>92.857142857142861</v>
      </c>
      <c r="T10" s="70">
        <v>35</v>
      </c>
      <c r="U10" s="163"/>
      <c r="V10" s="164">
        <v>32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32</v>
      </c>
      <c r="AI10" s="11">
        <f t="shared" si="6"/>
        <v>1</v>
      </c>
      <c r="AJ10" s="12">
        <f t="shared" si="7"/>
        <v>32</v>
      </c>
      <c r="AK10" s="77"/>
      <c r="AL10" s="124">
        <f t="shared" si="8"/>
        <v>292</v>
      </c>
      <c r="AM10" s="95">
        <f t="shared" si="9"/>
        <v>9</v>
      </c>
      <c r="AN10" s="11">
        <f t="shared" si="10"/>
        <v>32.444444444444443</v>
      </c>
      <c r="AO10" s="12">
        <f t="shared" si="11"/>
        <v>92.698412698412696</v>
      </c>
    </row>
    <row r="11" spans="1:41" s="10" customFormat="1" ht="20.100000000000001" customHeight="1" x14ac:dyDescent="0.25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11">
        <f t="shared" si="3"/>
        <v>12.285714285714286</v>
      </c>
      <c r="S11" s="12">
        <f t="shared" si="4"/>
        <v>81.904761904761898</v>
      </c>
      <c r="T11" s="70">
        <v>15</v>
      </c>
      <c r="U11" s="163">
        <v>13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13</v>
      </c>
      <c r="AI11" s="11">
        <f t="shared" si="6"/>
        <v>1</v>
      </c>
      <c r="AJ11" s="12">
        <f t="shared" si="7"/>
        <v>13</v>
      </c>
      <c r="AK11" s="77"/>
      <c r="AL11" s="124">
        <f t="shared" si="8"/>
        <v>99</v>
      </c>
      <c r="AM11" s="95">
        <f t="shared" si="9"/>
        <v>8</v>
      </c>
      <c r="AN11" s="11">
        <f t="shared" si="10"/>
        <v>12.375</v>
      </c>
      <c r="AO11" s="12">
        <f t="shared" si="11"/>
        <v>82.5</v>
      </c>
    </row>
    <row r="12" spans="1:41" s="10" customFormat="1" ht="20.100000000000001" customHeight="1" x14ac:dyDescent="0.25">
      <c r="A12" s="26" t="s">
        <v>302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>
        <v>26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26</v>
      </c>
      <c r="AI12" s="11">
        <f t="shared" si="6"/>
        <v>1</v>
      </c>
      <c r="AJ12" s="12">
        <f t="shared" si="7"/>
        <v>26</v>
      </c>
      <c r="AK12" s="77"/>
      <c r="AL12" s="124">
        <f t="shared" si="8"/>
        <v>319</v>
      </c>
      <c r="AM12" s="95">
        <f t="shared" si="9"/>
        <v>8</v>
      </c>
      <c r="AN12" s="11">
        <f t="shared" si="10"/>
        <v>39.875</v>
      </c>
      <c r="AO12" s="12">
        <f t="shared" si="11"/>
        <v>104.93421052631579</v>
      </c>
    </row>
    <row r="13" spans="1:41" s="10" customFormat="1" ht="20.100000000000001" customHeight="1" x14ac:dyDescent="0.25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>
        <v>17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17</v>
      </c>
      <c r="AI13" s="11">
        <f t="shared" si="6"/>
        <v>1</v>
      </c>
      <c r="AJ13" s="12">
        <f t="shared" si="7"/>
        <v>17</v>
      </c>
      <c r="AK13" s="77"/>
      <c r="AL13" s="124">
        <f t="shared" si="8"/>
        <v>219</v>
      </c>
      <c r="AM13" s="95">
        <f t="shared" si="9"/>
        <v>9</v>
      </c>
      <c r="AN13" s="11">
        <f t="shared" si="10"/>
        <v>24.333333333333332</v>
      </c>
      <c r="AO13" s="12">
        <f t="shared" si="11"/>
        <v>101.38888888888889</v>
      </c>
    </row>
    <row r="14" spans="1:41" s="10" customFormat="1" ht="20.100000000000001" customHeight="1" x14ac:dyDescent="0.25">
      <c r="A14" s="26" t="s">
        <v>360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11">
        <f t="shared" si="3"/>
        <v>9.4285714285714288</v>
      </c>
      <c r="S14" s="12">
        <f t="shared" si="4"/>
        <v>62.857142857142854</v>
      </c>
      <c r="T14" s="276">
        <v>15</v>
      </c>
      <c r="U14" s="163"/>
      <c r="V14" s="164">
        <v>11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11</v>
      </c>
      <c r="AI14" s="11">
        <f t="shared" si="6"/>
        <v>1</v>
      </c>
      <c r="AJ14" s="12">
        <f t="shared" si="7"/>
        <v>11</v>
      </c>
      <c r="AK14" s="77"/>
      <c r="AL14" s="124">
        <f t="shared" si="8"/>
        <v>77</v>
      </c>
      <c r="AM14" s="95">
        <f t="shared" si="9"/>
        <v>8</v>
      </c>
      <c r="AN14" s="11">
        <f t="shared" si="10"/>
        <v>9.625</v>
      </c>
      <c r="AO14" s="12">
        <f t="shared" si="11"/>
        <v>64.166666666666671</v>
      </c>
    </row>
    <row r="15" spans="1:41" s="10" customFormat="1" ht="20.100000000000001" customHeight="1" x14ac:dyDescent="0.25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25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25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142</v>
      </c>
      <c r="P19" s="19">
        <f t="shared" si="13"/>
        <v>2352</v>
      </c>
      <c r="Q19" s="19">
        <f t="shared" si="13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312</v>
      </c>
      <c r="AI19" s="18">
        <f>SUM(AI4:AI18)</f>
        <v>12</v>
      </c>
      <c r="AJ19" s="23">
        <f>AH19/AI19</f>
        <v>26</v>
      </c>
      <c r="AK19" s="78"/>
      <c r="AL19" s="24">
        <f>SUM(AL4:AL18)</f>
        <v>2664</v>
      </c>
      <c r="AM19" s="18">
        <f>SUM(AM4:AM18)</f>
        <v>90</v>
      </c>
      <c r="AN19" s="18">
        <f t="shared" ref="AN19" si="16">AL19/AM19</f>
        <v>29.6</v>
      </c>
      <c r="AO19" s="20"/>
    </row>
  </sheetData>
  <mergeCells count="18"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showRowColHeaders="0" topLeftCell="A2" zoomScaleNormal="100" workbookViewId="0">
      <selection activeCell="U27" sqref="U27"/>
    </sheetView>
  </sheetViews>
  <sheetFormatPr defaultRowHeight="15" x14ac:dyDescent="0.25"/>
  <cols>
    <col min="1" max="1" width="25.85546875" customWidth="1"/>
    <col min="2" max="2" width="4.7109375" customWidth="1"/>
    <col min="3" max="13" width="3.7109375" customWidth="1"/>
    <col min="14" max="14" width="4" customWidth="1"/>
    <col min="15" max="15" width="3.7109375" customWidth="1"/>
    <col min="16" max="16" width="4.5703125" customWidth="1"/>
    <col min="17" max="18" width="3.7109375" customWidth="1"/>
    <col min="19" max="19" width="4.28515625" customWidth="1"/>
    <col min="20" max="20" width="4.7109375" customWidth="1"/>
    <col min="21" max="24" width="3.7109375" customWidth="1"/>
    <col min="25" max="27" width="4.28515625" customWidth="1"/>
    <col min="28" max="29" width="4" customWidth="1"/>
    <col min="30" max="30" width="4.28515625" customWidth="1"/>
    <col min="31" max="33" width="3.7109375" customWidth="1"/>
    <col min="34" max="34" width="4.7109375" customWidth="1"/>
    <col min="35" max="36" width="3.7109375" customWidth="1"/>
    <col min="37" max="37" width="1.5703125" customWidth="1"/>
    <col min="38" max="38" width="5" customWidth="1"/>
    <col min="39" max="40" width="3.7109375" customWidth="1"/>
    <col min="41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1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33</v>
      </c>
      <c r="B2" s="310" t="s">
        <v>42</v>
      </c>
      <c r="C2" s="312" t="s">
        <v>166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128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302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01"/>
      <c r="AI3" s="303"/>
      <c r="AJ3" s="303"/>
      <c r="AK3" s="76"/>
      <c r="AL3" s="301"/>
      <c r="AM3" s="303"/>
      <c r="AN3" s="303"/>
      <c r="AO3" s="299"/>
    </row>
    <row r="4" spans="1:41" ht="20.100000000000001" customHeight="1" x14ac:dyDescent="0.25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>
        <v>23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23</v>
      </c>
      <c r="AI4" s="8">
        <f>COUNTIF(U4:AG4,"&gt;0")</f>
        <v>1</v>
      </c>
      <c r="AJ4" s="94">
        <f>IF(AH4=0," ",AH4/AI4)</f>
        <v>23</v>
      </c>
      <c r="AK4" s="77"/>
      <c r="AL4" s="122">
        <f t="shared" ref="AL4:AM4" si="1">P4+AH4</f>
        <v>74</v>
      </c>
      <c r="AM4" s="123">
        <f t="shared" si="1"/>
        <v>5</v>
      </c>
      <c r="AN4" s="8">
        <f>IF(AL4=0," ",AL4/AM4)</f>
        <v>14.8</v>
      </c>
      <c r="AO4" s="94">
        <f>IF(AL4=0," ",AL4/(AM4*T4)*100)</f>
        <v>87.058823529411768</v>
      </c>
    </row>
    <row r="5" spans="1:41" ht="20.100000000000001" customHeight="1" x14ac:dyDescent="0.25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3">
        <v>27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27</v>
      </c>
      <c r="AI5" s="11">
        <f t="shared" ref="AI5:AI18" si="7">COUNTIF(U5:AG5,"&gt;0")</f>
        <v>1</v>
      </c>
      <c r="AJ5" s="12">
        <f t="shared" ref="AJ5:AJ18" si="8">IF(AH5=0," ",AH5/AI5)</f>
        <v>27</v>
      </c>
      <c r="AK5" s="77"/>
      <c r="AL5" s="124">
        <f t="shared" ref="AL5:AL18" si="9">P5+AH5</f>
        <v>265</v>
      </c>
      <c r="AM5" s="95">
        <f t="shared" ref="AM5:AM18" si="10">Q5+AI5</f>
        <v>8</v>
      </c>
      <c r="AN5" s="11">
        <f t="shared" ref="AN5:AN18" si="11">IF(AL5=0," ",AL5/AM5)</f>
        <v>33.125</v>
      </c>
      <c r="AO5" s="12">
        <f t="shared" ref="AO5:AO18" si="12">IF(AL5=0," ",AL5/(AM5*T5)*100)</f>
        <v>87.171052631578945</v>
      </c>
    </row>
    <row r="6" spans="1:41" ht="20.100000000000001" customHeight="1" x14ac:dyDescent="0.25">
      <c r="A6" s="26" t="s">
        <v>341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11">
        <f t="shared" si="4"/>
        <v>58.444444444444443</v>
      </c>
      <c r="S6" s="12">
        <f t="shared" si="5"/>
        <v>100.76628352490422</v>
      </c>
      <c r="T6" s="276">
        <v>58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526</v>
      </c>
      <c r="AM6" s="95">
        <f t="shared" si="10"/>
        <v>9</v>
      </c>
      <c r="AN6" s="11">
        <f t="shared" si="11"/>
        <v>58.444444444444443</v>
      </c>
      <c r="AO6" s="12">
        <f t="shared" si="12"/>
        <v>100.76628352490422</v>
      </c>
    </row>
    <row r="7" spans="1:41" ht="20.100000000000001" customHeight="1" x14ac:dyDescent="0.25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25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>
        <v>28</v>
      </c>
      <c r="V8" s="164">
        <v>29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57</v>
      </c>
      <c r="AI8" s="11">
        <f t="shared" si="7"/>
        <v>2</v>
      </c>
      <c r="AJ8" s="12">
        <f t="shared" si="8"/>
        <v>28.5</v>
      </c>
      <c r="AK8" s="77"/>
      <c r="AL8" s="124">
        <f t="shared" si="9"/>
        <v>279</v>
      </c>
      <c r="AM8" s="95">
        <f t="shared" si="10"/>
        <v>9</v>
      </c>
      <c r="AN8" s="11">
        <f t="shared" si="11"/>
        <v>31</v>
      </c>
      <c r="AO8" s="12">
        <f t="shared" si="12"/>
        <v>96.875</v>
      </c>
    </row>
    <row r="9" spans="1:41" ht="20.100000000000001" customHeight="1" x14ac:dyDescent="0.25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>
        <v>13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13</v>
      </c>
      <c r="AI9" s="11">
        <f t="shared" si="7"/>
        <v>1</v>
      </c>
      <c r="AJ9" s="12">
        <f t="shared" si="8"/>
        <v>13</v>
      </c>
      <c r="AK9" s="77"/>
      <c r="AL9" s="124">
        <f t="shared" si="9"/>
        <v>114</v>
      </c>
      <c r="AM9" s="95">
        <f t="shared" si="10"/>
        <v>5</v>
      </c>
      <c r="AN9" s="11">
        <f t="shared" si="11"/>
        <v>22.8</v>
      </c>
      <c r="AO9" s="12">
        <f t="shared" si="12"/>
        <v>120</v>
      </c>
    </row>
    <row r="10" spans="1:41" ht="20.100000000000001" customHeight="1" x14ac:dyDescent="0.25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11">
        <f t="shared" si="4"/>
        <v>20.5</v>
      </c>
      <c r="S10" s="12">
        <f t="shared" si="5"/>
        <v>97.61904761904762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82</v>
      </c>
      <c r="AM10" s="95">
        <f t="shared" si="10"/>
        <v>4</v>
      </c>
      <c r="AN10" s="11">
        <f t="shared" si="11"/>
        <v>20.5</v>
      </c>
      <c r="AO10" s="12">
        <f t="shared" si="12"/>
        <v>97.61904761904762</v>
      </c>
    </row>
    <row r="11" spans="1:41" ht="20.100000000000001" customHeight="1" x14ac:dyDescent="0.25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11">
        <f t="shared" si="4"/>
        <v>32.833333333333336</v>
      </c>
      <c r="S11" s="12">
        <f t="shared" si="5"/>
        <v>136.80555555555557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197</v>
      </c>
      <c r="AM11" s="95">
        <f t="shared" si="10"/>
        <v>6</v>
      </c>
      <c r="AN11" s="11">
        <f t="shared" si="11"/>
        <v>32.833333333333336</v>
      </c>
      <c r="AO11" s="12">
        <f t="shared" si="12"/>
        <v>136.80555555555557</v>
      </c>
    </row>
    <row r="12" spans="1:41" ht="20.100000000000001" customHeight="1" x14ac:dyDescent="0.25">
      <c r="A12" s="26" t="s">
        <v>315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>
        <v>37</v>
      </c>
      <c r="V12" s="164">
        <v>45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82</v>
      </c>
      <c r="AI12" s="11">
        <f t="shared" si="7"/>
        <v>2</v>
      </c>
      <c r="AJ12" s="12">
        <f t="shared" si="8"/>
        <v>41</v>
      </c>
      <c r="AK12" s="77"/>
      <c r="AL12" s="124">
        <f t="shared" si="9"/>
        <v>326</v>
      </c>
      <c r="AM12" s="95">
        <f t="shared" si="10"/>
        <v>9</v>
      </c>
      <c r="AN12" s="11">
        <f t="shared" si="11"/>
        <v>36.222222222222221</v>
      </c>
      <c r="AO12" s="12">
        <f t="shared" si="12"/>
        <v>95.32163742690058</v>
      </c>
    </row>
    <row r="13" spans="1:41" ht="20.100000000000001" customHeight="1" x14ac:dyDescent="0.25">
      <c r="A13" s="26" t="s">
        <v>316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11">
        <f t="shared" si="4"/>
        <v>82.714285714285708</v>
      </c>
      <c r="S13" s="12">
        <f t="shared" si="5"/>
        <v>93.993506493506501</v>
      </c>
      <c r="T13" s="70">
        <v>88</v>
      </c>
      <c r="U13" s="163"/>
      <c r="V13" s="164">
        <v>105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105</v>
      </c>
      <c r="AI13" s="11">
        <f t="shared" si="7"/>
        <v>1</v>
      </c>
      <c r="AJ13" s="12">
        <f t="shared" si="8"/>
        <v>105</v>
      </c>
      <c r="AK13" s="77"/>
      <c r="AL13" s="124">
        <f t="shared" si="9"/>
        <v>684</v>
      </c>
      <c r="AM13" s="95">
        <f t="shared" si="10"/>
        <v>8</v>
      </c>
      <c r="AN13" s="11">
        <f t="shared" si="11"/>
        <v>85.5</v>
      </c>
      <c r="AO13" s="12">
        <f t="shared" si="12"/>
        <v>97.159090909090907</v>
      </c>
    </row>
    <row r="14" spans="1:41" ht="20.100000000000001" customHeight="1" x14ac:dyDescent="0.25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25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11">
        <f t="shared" si="4"/>
        <v>21.222222222222221</v>
      </c>
      <c r="S15" s="12">
        <f t="shared" si="5"/>
        <v>101.05820105820106</v>
      </c>
      <c r="T15" s="70">
        <v>21</v>
      </c>
      <c r="U15" s="163">
        <v>20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20</v>
      </c>
      <c r="AI15" s="11">
        <f t="shared" si="7"/>
        <v>1</v>
      </c>
      <c r="AJ15" s="12">
        <f t="shared" si="8"/>
        <v>20</v>
      </c>
      <c r="AK15" s="77"/>
      <c r="AL15" s="124">
        <f t="shared" si="9"/>
        <v>211</v>
      </c>
      <c r="AM15" s="95">
        <f t="shared" si="10"/>
        <v>10</v>
      </c>
      <c r="AN15" s="11">
        <f t="shared" si="11"/>
        <v>21.1</v>
      </c>
      <c r="AO15" s="12">
        <f t="shared" si="12"/>
        <v>100.47619047619048</v>
      </c>
    </row>
    <row r="16" spans="1:41" ht="20.100000000000001" customHeight="1" x14ac:dyDescent="0.25">
      <c r="A16" s="26" t="s">
        <v>357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276">
        <v>15</v>
      </c>
      <c r="U16" s="163">
        <v>10</v>
      </c>
      <c r="V16" s="164">
        <v>21</v>
      </c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31</v>
      </c>
      <c r="AI16" s="11">
        <f t="shared" si="7"/>
        <v>2</v>
      </c>
      <c r="AJ16" s="12">
        <f t="shared" si="8"/>
        <v>15.5</v>
      </c>
      <c r="AK16" s="77"/>
      <c r="AL16" s="124">
        <f t="shared" si="9"/>
        <v>81</v>
      </c>
      <c r="AM16" s="95">
        <f t="shared" si="10"/>
        <v>6</v>
      </c>
      <c r="AN16" s="11">
        <f t="shared" si="11"/>
        <v>13.5</v>
      </c>
      <c r="AO16" s="12">
        <f t="shared" si="12"/>
        <v>90</v>
      </c>
    </row>
    <row r="17" spans="1:41" ht="20.100000000000001" customHeight="1" x14ac:dyDescent="0.25">
      <c r="A17" s="26" t="s">
        <v>373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>SUM(C17:O17)</f>
        <v>0</v>
      </c>
      <c r="Q17" s="11">
        <f>COUNTIF(C17:O17,"&gt;0")</f>
        <v>0</v>
      </c>
      <c r="R17" s="11" t="str">
        <f>IF(P17=0," ",P17/Q17)</f>
        <v xml:space="preserve"> </v>
      </c>
      <c r="S17" s="12" t="str">
        <f>IF(P17=0," ",P17/(Q17*T17)*100)</f>
        <v xml:space="preserve"> </v>
      </c>
      <c r="T17" s="131">
        <v>35</v>
      </c>
      <c r="U17" s="163">
        <v>28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>SUM(U17:AG17)</f>
        <v>28</v>
      </c>
      <c r="AI17" s="11">
        <f>COUNTIF(U17:AG17,"&gt;0")</f>
        <v>1</v>
      </c>
      <c r="AJ17" s="12">
        <f>IF(AH17=0," ",AH17/AI17)</f>
        <v>28</v>
      </c>
      <c r="AK17" s="77"/>
      <c r="AL17" s="124">
        <f>P17+AH17</f>
        <v>28</v>
      </c>
      <c r="AM17" s="95">
        <f>Q17+AI17</f>
        <v>1</v>
      </c>
      <c r="AN17" s="11">
        <f>IF(AL17=0," ",AL17/AM17)</f>
        <v>28</v>
      </c>
      <c r="AO17" s="12">
        <f>IF(AL17=0," ",AL17/(AM17*T17)*100)</f>
        <v>80</v>
      </c>
    </row>
    <row r="18" spans="1:4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">
      <c r="A19" s="159">
        <f>COUNT(B3:B18)</f>
        <v>15</v>
      </c>
      <c r="B19" s="180">
        <f>SUM(B4:B16)</f>
        <v>412</v>
      </c>
      <c r="C19" s="21">
        <f t="shared" ref="C19:Q19" si="14">SUM(C4:C18)</f>
        <v>195</v>
      </c>
      <c r="D19" s="19">
        <f t="shared" si="14"/>
        <v>131</v>
      </c>
      <c r="E19" s="19">
        <f t="shared" si="14"/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 t="shared" si="14"/>
        <v>210</v>
      </c>
      <c r="P19" s="19">
        <f t="shared" si="14"/>
        <v>2701</v>
      </c>
      <c r="Q19" s="19">
        <f t="shared" si="14"/>
        <v>78</v>
      </c>
      <c r="R19" s="19">
        <f>P19/Q19</f>
        <v>34.628205128205131</v>
      </c>
      <c r="S19" s="22"/>
      <c r="T19" s="179">
        <f t="shared" ref="T19:AH19" si="15">SUM(T4:T18)</f>
        <v>451</v>
      </c>
      <c r="U19" s="21">
        <f t="shared" si="15"/>
        <v>150</v>
      </c>
      <c r="V19" s="19">
        <f t="shared" si="15"/>
        <v>236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386</v>
      </c>
      <c r="AI19" s="18">
        <f>SUM(AI4:AI15)</f>
        <v>9</v>
      </c>
      <c r="AJ19" s="23">
        <f>AH19/AI19</f>
        <v>42.888888888888886</v>
      </c>
      <c r="AK19" s="78"/>
      <c r="AL19" s="24">
        <f>SUM(AL4:AL18)</f>
        <v>3087</v>
      </c>
      <c r="AM19" s="18">
        <f>SUM(AM4:AM18)</f>
        <v>90</v>
      </c>
      <c r="AN19" s="18">
        <f t="shared" ref="AN19" si="16">AL19/AM19</f>
        <v>34.299999999999997</v>
      </c>
      <c r="AO19" s="20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110" zoomScaleNormal="110" workbookViewId="0">
      <selection activeCell="AL19" sqref="AL19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1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34</v>
      </c>
      <c r="B2" s="310" t="s">
        <v>42</v>
      </c>
      <c r="C2" s="312" t="s">
        <v>76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110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>
        <v>52</v>
      </c>
      <c r="V4" s="161">
        <v>32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84</v>
      </c>
      <c r="AI4" s="8">
        <f>COUNTIF(U4:AG4,"&gt;0")</f>
        <v>2</v>
      </c>
      <c r="AJ4" s="94">
        <f>IF(AH4=0," ",AH4/AI4)</f>
        <v>42</v>
      </c>
      <c r="AK4" s="77"/>
      <c r="AL4" s="122">
        <f t="shared" ref="AL4" si="1">P4+AH4</f>
        <v>184</v>
      </c>
      <c r="AM4" s="123">
        <f t="shared" ref="AM4" si="2">Q4+AI4</f>
        <v>4</v>
      </c>
      <c r="AN4" s="8">
        <f>IF(AL4=0," ",AL4/AM4)</f>
        <v>46</v>
      </c>
      <c r="AO4" s="94">
        <f>IF(AL4=0," ",AL4/(AM4*T4)*100)</f>
        <v>106.9767441860465</v>
      </c>
    </row>
    <row r="5" spans="1:41" s="10" customFormat="1" ht="20.100000000000001" customHeight="1" x14ac:dyDescent="0.25">
      <c r="A5" s="26" t="s">
        <v>177</v>
      </c>
      <c r="B5" s="70">
        <v>28</v>
      </c>
      <c r="C5" s="163">
        <v>29</v>
      </c>
      <c r="D5" s="164">
        <v>50</v>
      </c>
      <c r="E5" s="273">
        <v>30</v>
      </c>
      <c r="F5" s="164">
        <v>33</v>
      </c>
      <c r="G5" s="164"/>
      <c r="H5" s="272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>
        <v>20</v>
      </c>
      <c r="V5" s="164">
        <v>56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76</v>
      </c>
      <c r="AI5" s="11">
        <f t="shared" ref="AI5:AI18" si="8">COUNTIF(U5:AG5,"&gt;0")</f>
        <v>2</v>
      </c>
      <c r="AJ5" s="12">
        <f t="shared" ref="AJ5:AJ18" si="9">IF(AH5=0," ",AH5/AI5)</f>
        <v>38</v>
      </c>
      <c r="AK5" s="77"/>
      <c r="AL5" s="124">
        <f t="shared" ref="AL5:AL18" si="10">P5+AH5</f>
        <v>402</v>
      </c>
      <c r="AM5" s="95">
        <f t="shared" ref="AM5:AM18" si="11">Q5+AI5</f>
        <v>13</v>
      </c>
      <c r="AN5" s="11">
        <f t="shared" ref="AN5:AN18" si="12">IF(AL5=0," ",AL5/AM5)</f>
        <v>30.923076923076923</v>
      </c>
      <c r="AO5" s="12">
        <f t="shared" ref="AO5:AO18" si="13">IF(AL5=0," ",AL5/(AM5*T5)*100)</f>
        <v>110.43956043956045</v>
      </c>
    </row>
    <row r="6" spans="1:41" s="10" customFormat="1" ht="20.100000000000001" customHeight="1" x14ac:dyDescent="0.25">
      <c r="A6" s="26" t="s">
        <v>178</v>
      </c>
      <c r="B6" s="70">
        <v>42</v>
      </c>
      <c r="C6" s="163">
        <v>38</v>
      </c>
      <c r="D6" s="273">
        <v>49</v>
      </c>
      <c r="E6" s="273">
        <v>18</v>
      </c>
      <c r="F6" s="164">
        <v>35</v>
      </c>
      <c r="G6" s="164">
        <v>51</v>
      </c>
      <c r="H6" s="272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11">
        <f t="shared" si="5"/>
        <v>40.18181818181818</v>
      </c>
      <c r="S6" s="12">
        <f t="shared" si="6"/>
        <v>95.67099567099568</v>
      </c>
      <c r="T6" s="70">
        <v>42</v>
      </c>
      <c r="U6" s="163">
        <v>26</v>
      </c>
      <c r="V6" s="164">
        <v>55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81</v>
      </c>
      <c r="AI6" s="11">
        <f t="shared" si="8"/>
        <v>2</v>
      </c>
      <c r="AJ6" s="12">
        <f t="shared" si="9"/>
        <v>40.5</v>
      </c>
      <c r="AK6" s="77"/>
      <c r="AL6" s="124">
        <f t="shared" si="10"/>
        <v>523</v>
      </c>
      <c r="AM6" s="95">
        <f t="shared" si="11"/>
        <v>13</v>
      </c>
      <c r="AN6" s="11">
        <f t="shared" si="12"/>
        <v>40.230769230769234</v>
      </c>
      <c r="AO6" s="12">
        <f t="shared" si="13"/>
        <v>95.787545787545795</v>
      </c>
    </row>
    <row r="7" spans="1:41" s="10" customFormat="1" ht="20.100000000000001" customHeight="1" x14ac:dyDescent="0.25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2">
        <v>65</v>
      </c>
      <c r="I7" s="272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11">
        <f t="shared" si="5"/>
        <v>49.666666666666664</v>
      </c>
      <c r="S7" s="12">
        <f t="shared" si="6"/>
        <v>124.16666666666667</v>
      </c>
      <c r="T7" s="70">
        <v>40</v>
      </c>
      <c r="U7" s="163">
        <v>28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28</v>
      </c>
      <c r="AI7" s="11">
        <f t="shared" si="8"/>
        <v>1</v>
      </c>
      <c r="AJ7" s="12">
        <f t="shared" si="9"/>
        <v>28</v>
      </c>
      <c r="AK7" s="77"/>
      <c r="AL7" s="124">
        <f t="shared" si="10"/>
        <v>624</v>
      </c>
      <c r="AM7" s="95">
        <f t="shared" si="11"/>
        <v>13</v>
      </c>
      <c r="AN7" s="11">
        <f t="shared" si="12"/>
        <v>48</v>
      </c>
      <c r="AO7" s="12">
        <f t="shared" si="13"/>
        <v>120</v>
      </c>
    </row>
    <row r="8" spans="1:41" s="10" customFormat="1" ht="20.100000000000001" customHeight="1" x14ac:dyDescent="0.25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11">
        <f t="shared" si="5"/>
        <v>41.8</v>
      </c>
      <c r="S8" s="12">
        <f t="shared" si="6"/>
        <v>130.625</v>
      </c>
      <c r="T8" s="70">
        <v>32</v>
      </c>
      <c r="U8" s="163">
        <v>35</v>
      </c>
      <c r="V8" s="164">
        <v>41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76</v>
      </c>
      <c r="AI8" s="11">
        <f t="shared" si="8"/>
        <v>2</v>
      </c>
      <c r="AJ8" s="12">
        <f t="shared" si="9"/>
        <v>38</v>
      </c>
      <c r="AK8" s="77"/>
      <c r="AL8" s="124">
        <f t="shared" si="10"/>
        <v>285</v>
      </c>
      <c r="AM8" s="95">
        <f t="shared" si="11"/>
        <v>7</v>
      </c>
      <c r="AN8" s="11">
        <f t="shared" si="12"/>
        <v>40.714285714285715</v>
      </c>
      <c r="AO8" s="12">
        <f t="shared" si="13"/>
        <v>127.23214285714286</v>
      </c>
    </row>
    <row r="9" spans="1:41" s="10" customFormat="1" ht="20.100000000000001" customHeight="1" x14ac:dyDescent="0.25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25">
      <c r="A10" s="26" t="s">
        <v>361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101.02564102564102</v>
      </c>
      <c r="T10" s="276">
        <v>39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101.02564102564102</v>
      </c>
    </row>
    <row r="11" spans="1:41" s="10" customFormat="1" ht="20.100000000000001" customHeight="1" x14ac:dyDescent="0.25">
      <c r="A11" s="26" t="s">
        <v>351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2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11">
        <f t="shared" si="5"/>
        <v>43.222222222222221</v>
      </c>
      <c r="S11" s="12">
        <f t="shared" si="6"/>
        <v>100.51679586563307</v>
      </c>
      <c r="T11" s="276">
        <v>43</v>
      </c>
      <c r="U11" s="163"/>
      <c r="V11" s="164">
        <v>37</v>
      </c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37</v>
      </c>
      <c r="AI11" s="11">
        <f t="shared" si="8"/>
        <v>1</v>
      </c>
      <c r="AJ11" s="12">
        <f t="shared" si="9"/>
        <v>37</v>
      </c>
      <c r="AK11" s="77"/>
      <c r="AL11" s="124">
        <f t="shared" si="10"/>
        <v>426</v>
      </c>
      <c r="AM11" s="95">
        <f t="shared" si="11"/>
        <v>10</v>
      </c>
      <c r="AN11" s="11">
        <f t="shared" si="12"/>
        <v>42.6</v>
      </c>
      <c r="AO11" s="12">
        <f t="shared" si="13"/>
        <v>99.069767441860463</v>
      </c>
    </row>
    <row r="12" spans="1:41" s="10" customFormat="1" ht="20.100000000000001" customHeight="1" x14ac:dyDescent="0.25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25">
      <c r="A13" s="26" t="s">
        <v>183</v>
      </c>
      <c r="B13" s="70">
        <v>45</v>
      </c>
      <c r="C13" s="163"/>
      <c r="D13" s="164">
        <v>67</v>
      </c>
      <c r="E13" s="273">
        <v>55</v>
      </c>
      <c r="F13" s="164"/>
      <c r="G13" s="164"/>
      <c r="H13" s="272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11">
        <f t="shared" si="5"/>
        <v>49</v>
      </c>
      <c r="S13" s="12">
        <f t="shared" si="6"/>
        <v>108.88888888888889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490</v>
      </c>
      <c r="AM13" s="95">
        <f t="shared" si="11"/>
        <v>10</v>
      </c>
      <c r="AN13" s="11">
        <f t="shared" si="12"/>
        <v>49</v>
      </c>
      <c r="AO13" s="12">
        <f t="shared" si="13"/>
        <v>108.88888888888889</v>
      </c>
    </row>
    <row r="14" spans="1:41" s="10" customFormat="1" ht="20.100000000000001" customHeight="1" x14ac:dyDescent="0.25">
      <c r="A14" s="26" t="s">
        <v>184</v>
      </c>
      <c r="B14" s="70">
        <v>35</v>
      </c>
      <c r="C14" s="163">
        <v>34</v>
      </c>
      <c r="D14" s="164"/>
      <c r="E14" s="273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11">
        <f t="shared" si="5"/>
        <v>33.625</v>
      </c>
      <c r="S14" s="12">
        <f t="shared" si="6"/>
        <v>96.071428571428569</v>
      </c>
      <c r="T14" s="70">
        <v>35</v>
      </c>
      <c r="U14" s="163">
        <v>25</v>
      </c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25</v>
      </c>
      <c r="AI14" s="11">
        <f t="shared" si="8"/>
        <v>1</v>
      </c>
      <c r="AJ14" s="12">
        <f t="shared" si="9"/>
        <v>25</v>
      </c>
      <c r="AK14" s="77"/>
      <c r="AL14" s="124">
        <f t="shared" si="10"/>
        <v>294</v>
      </c>
      <c r="AM14" s="95">
        <f t="shared" si="11"/>
        <v>9</v>
      </c>
      <c r="AN14" s="11">
        <f t="shared" si="12"/>
        <v>32.666666666666664</v>
      </c>
      <c r="AO14" s="12">
        <f t="shared" si="13"/>
        <v>93.333333333333329</v>
      </c>
    </row>
    <row r="15" spans="1:41" s="10" customFormat="1" ht="20.100000000000001" customHeight="1" x14ac:dyDescent="0.25">
      <c r="A15" s="26" t="s">
        <v>185</v>
      </c>
      <c r="B15" s="70">
        <v>50</v>
      </c>
      <c r="C15" s="163"/>
      <c r="D15" s="164">
        <v>45</v>
      </c>
      <c r="E15" s="273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>
        <v>55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55</v>
      </c>
      <c r="AI15" s="11">
        <f t="shared" si="8"/>
        <v>1</v>
      </c>
      <c r="AJ15" s="12">
        <f t="shared" si="9"/>
        <v>55</v>
      </c>
      <c r="AK15" s="77"/>
      <c r="AL15" s="124">
        <f t="shared" si="10"/>
        <v>231</v>
      </c>
      <c r="AM15" s="95">
        <f t="shared" si="11"/>
        <v>4</v>
      </c>
      <c r="AN15" s="11">
        <f t="shared" si="12"/>
        <v>57.75</v>
      </c>
      <c r="AO15" s="12">
        <f t="shared" si="13"/>
        <v>115.5</v>
      </c>
    </row>
    <row r="16" spans="1:41" s="10" customFormat="1" ht="20.100000000000001" customHeight="1" x14ac:dyDescent="0.25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25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310</v>
      </c>
      <c r="P19" s="19">
        <f t="shared" si="15"/>
        <v>3527</v>
      </c>
      <c r="Q19" s="19">
        <f t="shared" si="15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462</v>
      </c>
      <c r="AI19" s="18">
        <f>SUM(AI4:AI18)</f>
        <v>12</v>
      </c>
      <c r="AJ19" s="23">
        <f>AH19/AI19</f>
        <v>38.5</v>
      </c>
      <c r="AK19" s="78"/>
      <c r="AL19" s="24">
        <f>SUM(AL4:AL18)</f>
        <v>3989</v>
      </c>
      <c r="AM19" s="18">
        <f>SUM(AM4:AM18)</f>
        <v>90</v>
      </c>
      <c r="AN19" s="18">
        <f t="shared" ref="AN19" si="18">AL19/AM19</f>
        <v>44.322222222222223</v>
      </c>
      <c r="AO19" s="20"/>
    </row>
    <row r="24" spans="1:41" x14ac:dyDescent="0.25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topLeftCell="A2" zoomScale="145" zoomScaleNormal="145" workbookViewId="0">
      <selection activeCell="V7" sqref="V7"/>
    </sheetView>
  </sheetViews>
  <sheetFormatPr defaultRowHeight="15" x14ac:dyDescent="0.25"/>
  <cols>
    <col min="1" max="1" width="25.85546875" style="7" customWidth="1"/>
    <col min="2" max="2" width="4.7109375" customWidth="1"/>
    <col min="3" max="15" width="4" customWidth="1"/>
    <col min="16" max="16" width="5.28515625" customWidth="1"/>
    <col min="17" max="17" width="3.7109375" customWidth="1"/>
    <col min="18" max="18" width="4.28515625" customWidth="1"/>
    <col min="19" max="20" width="4.7109375" customWidth="1"/>
    <col min="21" max="33" width="4" customWidth="1"/>
    <col min="34" max="34" width="5.28515625" customWidth="1"/>
    <col min="35" max="36" width="4.7109375" customWidth="1"/>
    <col min="37" max="37" width="1.28515625" customWidth="1"/>
    <col min="38" max="38" width="5.28515625" customWidth="1"/>
    <col min="39" max="41" width="4.7109375" customWidth="1"/>
  </cols>
  <sheetData>
    <row r="1" spans="1:41" ht="30" customHeight="1" thickBot="1" x14ac:dyDescent="0.3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1"/>
      <c r="AL1" s="306" t="s">
        <v>41</v>
      </c>
      <c r="AM1" s="306"/>
      <c r="AN1" s="306"/>
      <c r="AO1" s="307"/>
    </row>
    <row r="2" spans="1:41" ht="121.5" customHeight="1" thickBot="1" x14ac:dyDescent="0.3">
      <c r="A2" s="308" t="s">
        <v>296</v>
      </c>
      <c r="B2" s="310" t="s">
        <v>42</v>
      </c>
      <c r="C2" s="312" t="s">
        <v>166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128</v>
      </c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4"/>
      <c r="AH2" s="300" t="s">
        <v>44</v>
      </c>
      <c r="AI2" s="302" t="s">
        <v>45</v>
      </c>
      <c r="AJ2" s="298" t="s">
        <v>49</v>
      </c>
      <c r="AK2" s="75"/>
      <c r="AL2" s="300" t="s">
        <v>44</v>
      </c>
      <c r="AM2" s="302" t="s">
        <v>45</v>
      </c>
      <c r="AN2" s="302" t="s">
        <v>50</v>
      </c>
      <c r="AO2" s="298" t="s">
        <v>283</v>
      </c>
    </row>
    <row r="3" spans="1:41" ht="15" customHeight="1" thickBot="1" x14ac:dyDescent="0.3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1"/>
      <c r="AI3" s="303"/>
      <c r="AJ3" s="299"/>
      <c r="AK3" s="76"/>
      <c r="AL3" s="301"/>
      <c r="AM3" s="303"/>
      <c r="AN3" s="303"/>
      <c r="AO3" s="299"/>
    </row>
    <row r="4" spans="1:41" s="10" customFormat="1" ht="20.100000000000001" customHeight="1" x14ac:dyDescent="0.25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>
        <v>44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44</v>
      </c>
      <c r="AI4" s="8">
        <f>COUNTIF(U4:AG4,"&gt;0")</f>
        <v>1</v>
      </c>
      <c r="AJ4" s="94">
        <f>IF(AH4=0," ",AH4/AI4)</f>
        <v>44</v>
      </c>
      <c r="AK4" s="77"/>
      <c r="AL4" s="122">
        <f t="shared" ref="AL4:AM18" si="1">P4+AH4</f>
        <v>245</v>
      </c>
      <c r="AM4" s="123">
        <f t="shared" si="1"/>
        <v>8</v>
      </c>
      <c r="AN4" s="8">
        <f>IF(AL4=0," ",AL4/AM4)</f>
        <v>30.625</v>
      </c>
      <c r="AO4" s="94">
        <f>IF(AL4=0," ",AL4/(AM4*T4)*100)</f>
        <v>105.60344827586208</v>
      </c>
    </row>
    <row r="5" spans="1:41" s="10" customFormat="1" ht="20.100000000000001" customHeight="1" x14ac:dyDescent="0.25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11">
        <f t="shared" ref="R5:R18" si="4">IF(P5=0," ",P5/Q5)</f>
        <v>43.857142857142854</v>
      </c>
      <c r="S5" s="12">
        <f t="shared" si="0"/>
        <v>121.82539682539681</v>
      </c>
      <c r="T5" s="70">
        <v>36</v>
      </c>
      <c r="U5" s="163"/>
      <c r="V5" s="164">
        <v>21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21</v>
      </c>
      <c r="AI5" s="11">
        <f t="shared" ref="AI5:AI18" si="6">COUNTIF(U5:AG5,"&gt;0")</f>
        <v>1</v>
      </c>
      <c r="AJ5" s="12">
        <f t="shared" ref="AJ5:AJ18" si="7">IF(AH5=0," ",AH5/AI5)</f>
        <v>21</v>
      </c>
      <c r="AK5" s="77"/>
      <c r="AL5" s="124">
        <f t="shared" si="1"/>
        <v>328</v>
      </c>
      <c r="AM5" s="95">
        <f t="shared" si="1"/>
        <v>8</v>
      </c>
      <c r="AN5" s="11">
        <f t="shared" ref="AN5:AN18" si="8">IF(AL5=0," ",AL5/AM5)</f>
        <v>41</v>
      </c>
      <c r="AO5" s="12">
        <f t="shared" ref="AO5:AO18" si="9">IF(AL5=0," ",AL5/(AM5*T5)*100)</f>
        <v>113.88888888888889</v>
      </c>
    </row>
    <row r="6" spans="1:41" s="10" customFormat="1" ht="20.100000000000001" customHeight="1" x14ac:dyDescent="0.25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11">
        <f t="shared" si="4"/>
        <v>41.666666666666664</v>
      </c>
      <c r="S6" s="12">
        <f t="shared" si="0"/>
        <v>90.579710144927532</v>
      </c>
      <c r="T6" s="70">
        <v>46</v>
      </c>
      <c r="U6" s="163">
        <v>44</v>
      </c>
      <c r="V6" s="164">
        <v>60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104</v>
      </c>
      <c r="AI6" s="11">
        <f t="shared" si="6"/>
        <v>2</v>
      </c>
      <c r="AJ6" s="12">
        <f t="shared" si="7"/>
        <v>52</v>
      </c>
      <c r="AK6" s="77"/>
      <c r="AL6" s="124">
        <f t="shared" si="1"/>
        <v>479</v>
      </c>
      <c r="AM6" s="95">
        <f t="shared" si="1"/>
        <v>11</v>
      </c>
      <c r="AN6" s="11">
        <f t="shared" si="8"/>
        <v>43.545454545454547</v>
      </c>
      <c r="AO6" s="12">
        <f t="shared" si="9"/>
        <v>94.664031620553359</v>
      </c>
    </row>
    <row r="7" spans="1:41" s="10" customFormat="1" ht="20.100000000000001" customHeight="1" x14ac:dyDescent="0.25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11">
        <f t="shared" si="4"/>
        <v>35.857142857142854</v>
      </c>
      <c r="S7" s="12">
        <f t="shared" si="0"/>
        <v>108.65800865800865</v>
      </c>
      <c r="T7" s="70">
        <v>33</v>
      </c>
      <c r="U7" s="163"/>
      <c r="V7" s="164">
        <v>22</v>
      </c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22</v>
      </c>
      <c r="AI7" s="11">
        <f t="shared" si="6"/>
        <v>1</v>
      </c>
      <c r="AJ7" s="12">
        <f t="shared" si="7"/>
        <v>22</v>
      </c>
      <c r="AK7" s="77"/>
      <c r="AL7" s="124">
        <f t="shared" si="1"/>
        <v>273</v>
      </c>
      <c r="AM7" s="95">
        <f t="shared" si="1"/>
        <v>8</v>
      </c>
      <c r="AN7" s="11">
        <f t="shared" si="8"/>
        <v>34.125</v>
      </c>
      <c r="AO7" s="12">
        <f t="shared" si="9"/>
        <v>103.40909090909092</v>
      </c>
    </row>
    <row r="8" spans="1:41" s="10" customFormat="1" ht="20.100000000000001" customHeight="1" x14ac:dyDescent="0.25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11">
        <f t="shared" si="4"/>
        <v>18.666666666666668</v>
      </c>
      <c r="S8" s="12">
        <f t="shared" si="0"/>
        <v>77.777777777777786</v>
      </c>
      <c r="T8" s="70">
        <v>24</v>
      </c>
      <c r="U8" s="163"/>
      <c r="V8" s="164">
        <v>23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23</v>
      </c>
      <c r="AI8" s="11">
        <f t="shared" si="6"/>
        <v>1</v>
      </c>
      <c r="AJ8" s="12">
        <f t="shared" si="7"/>
        <v>23</v>
      </c>
      <c r="AK8" s="77"/>
      <c r="AL8" s="124">
        <f t="shared" si="1"/>
        <v>191</v>
      </c>
      <c r="AM8" s="95">
        <f t="shared" si="1"/>
        <v>10</v>
      </c>
      <c r="AN8" s="11">
        <f t="shared" si="8"/>
        <v>19.100000000000001</v>
      </c>
      <c r="AO8" s="12">
        <f t="shared" si="9"/>
        <v>79.583333333333329</v>
      </c>
    </row>
    <row r="9" spans="1:41" s="10" customFormat="1" ht="20.100000000000001" customHeight="1" x14ac:dyDescent="0.25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25</v>
      </c>
      <c r="AI9" s="11">
        <f t="shared" si="6"/>
        <v>1</v>
      </c>
      <c r="AJ9" s="12">
        <f t="shared" si="7"/>
        <v>25</v>
      </c>
      <c r="AK9" s="77"/>
      <c r="AL9" s="124">
        <f t="shared" si="1"/>
        <v>196</v>
      </c>
      <c r="AM9" s="95">
        <f t="shared" si="1"/>
        <v>9</v>
      </c>
      <c r="AN9" s="11">
        <f t="shared" si="8"/>
        <v>21.777777777777779</v>
      </c>
      <c r="AO9" s="12">
        <f t="shared" si="9"/>
        <v>94.685990338164245</v>
      </c>
    </row>
    <row r="10" spans="1:41" s="10" customFormat="1" ht="20.100000000000001" customHeight="1" x14ac:dyDescent="0.25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>
        <v>28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28</v>
      </c>
      <c r="AI10" s="11">
        <f t="shared" si="6"/>
        <v>1</v>
      </c>
      <c r="AJ10" s="12">
        <f t="shared" si="7"/>
        <v>28</v>
      </c>
      <c r="AK10" s="77"/>
      <c r="AL10" s="124">
        <f t="shared" si="1"/>
        <v>273</v>
      </c>
      <c r="AM10" s="95">
        <f t="shared" si="1"/>
        <v>9</v>
      </c>
      <c r="AN10" s="11">
        <f t="shared" si="8"/>
        <v>30.333333333333332</v>
      </c>
      <c r="AO10" s="12">
        <f t="shared" si="9"/>
        <v>116.66666666666667</v>
      </c>
    </row>
    <row r="11" spans="1:41" s="10" customFormat="1" ht="20.100000000000001" customHeight="1" x14ac:dyDescent="0.25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11">
        <f t="shared" si="4"/>
        <v>39</v>
      </c>
      <c r="S11" s="12">
        <f t="shared" si="0"/>
        <v>88.63636363636364</v>
      </c>
      <c r="T11" s="70">
        <v>44</v>
      </c>
      <c r="U11" s="163">
        <v>57</v>
      </c>
      <c r="V11" s="164">
        <v>40</v>
      </c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97</v>
      </c>
      <c r="AI11" s="11">
        <f t="shared" si="6"/>
        <v>2</v>
      </c>
      <c r="AJ11" s="12">
        <f t="shared" si="7"/>
        <v>48.5</v>
      </c>
      <c r="AK11" s="77"/>
      <c r="AL11" s="124">
        <f t="shared" si="1"/>
        <v>370</v>
      </c>
      <c r="AM11" s="95">
        <f t="shared" si="1"/>
        <v>9</v>
      </c>
      <c r="AN11" s="11">
        <f t="shared" si="8"/>
        <v>41.111111111111114</v>
      </c>
      <c r="AO11" s="12">
        <f t="shared" si="9"/>
        <v>93.434343434343432</v>
      </c>
    </row>
    <row r="12" spans="1:41" s="10" customFormat="1" ht="20.100000000000001" customHeight="1" x14ac:dyDescent="0.25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>
        <v>18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18</v>
      </c>
      <c r="AI12" s="11">
        <f t="shared" si="6"/>
        <v>1</v>
      </c>
      <c r="AJ12" s="12">
        <f t="shared" si="7"/>
        <v>18</v>
      </c>
      <c r="AK12" s="77"/>
      <c r="AL12" s="124">
        <f t="shared" si="1"/>
        <v>263</v>
      </c>
      <c r="AM12" s="95">
        <f t="shared" si="1"/>
        <v>10</v>
      </c>
      <c r="AN12" s="11">
        <f t="shared" si="8"/>
        <v>26.3</v>
      </c>
      <c r="AO12" s="12">
        <f t="shared" si="9"/>
        <v>93.928571428571431</v>
      </c>
    </row>
    <row r="13" spans="1:41" s="10" customFormat="1" ht="20.100000000000001" customHeight="1" x14ac:dyDescent="0.25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11">
        <f t="shared" si="4"/>
        <v>31.857142857142858</v>
      </c>
      <c r="S13" s="12">
        <f t="shared" si="0"/>
        <v>93.69747899159664</v>
      </c>
      <c r="T13" s="70">
        <v>34</v>
      </c>
      <c r="U13" s="163">
        <v>23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23</v>
      </c>
      <c r="AI13" s="11">
        <f t="shared" si="6"/>
        <v>1</v>
      </c>
      <c r="AJ13" s="12">
        <f t="shared" si="7"/>
        <v>23</v>
      </c>
      <c r="AK13" s="77"/>
      <c r="AL13" s="124">
        <f t="shared" si="1"/>
        <v>246</v>
      </c>
      <c r="AM13" s="95">
        <f t="shared" si="1"/>
        <v>8</v>
      </c>
      <c r="AN13" s="11">
        <f t="shared" si="8"/>
        <v>30.75</v>
      </c>
      <c r="AO13" s="12">
        <f t="shared" si="9"/>
        <v>90.441176470588232</v>
      </c>
    </row>
    <row r="14" spans="1:41" s="10" customFormat="1" ht="20.100000000000001" customHeight="1" x14ac:dyDescent="0.25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25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25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25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240</v>
      </c>
      <c r="P19" s="19">
        <f t="shared" si="11"/>
        <v>2459</v>
      </c>
      <c r="Q19" s="19">
        <f t="shared" si="11"/>
        <v>78</v>
      </c>
      <c r="R19" s="19">
        <f t="shared" si="11"/>
        <v>318.84126984126982</v>
      </c>
      <c r="S19" s="22"/>
      <c r="T19" s="179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405</v>
      </c>
      <c r="AI19" s="18">
        <f t="shared" si="12"/>
        <v>12</v>
      </c>
      <c r="AJ19" s="23">
        <f>AH19/AI19</f>
        <v>33.75</v>
      </c>
      <c r="AK19" s="78"/>
      <c r="AL19" s="24">
        <f>SUM(AL4:AL18)</f>
        <v>2864</v>
      </c>
      <c r="AM19" s="18">
        <f>SUM(AM4:AM18)</f>
        <v>90</v>
      </c>
      <c r="AN19" s="18">
        <f t="shared" ref="AN19" si="13">AL19/AM19</f>
        <v>31.822222222222223</v>
      </c>
      <c r="AO19" s="20"/>
    </row>
    <row r="24" spans="1:41" x14ac:dyDescent="0.25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topLeftCell="A20" workbookViewId="0">
      <selection activeCell="S57" sqref="S57"/>
    </sheetView>
  </sheetViews>
  <sheetFormatPr defaultRowHeight="15" x14ac:dyDescent="0.25"/>
  <cols>
    <col min="1" max="1" width="4.7109375" customWidth="1"/>
    <col min="2" max="2" width="22.7109375" customWidth="1"/>
    <col min="3" max="3" width="6.7109375" style="27" customWidth="1"/>
    <col min="4" max="4" width="2.7109375" customWidth="1"/>
    <col min="5" max="5" width="24.7109375" customWidth="1"/>
    <col min="6" max="6" width="6.7109375" style="27" customWidth="1"/>
    <col min="7" max="7" width="2.7109375" customWidth="1"/>
    <col min="8" max="8" width="22.7109375" customWidth="1"/>
    <col min="9" max="9" width="6.7109375" style="27" customWidth="1"/>
    <col min="10" max="10" width="2.7109375" customWidth="1"/>
  </cols>
  <sheetData>
    <row r="1" spans="2:9" ht="24.95" customHeight="1" x14ac:dyDescent="0.25">
      <c r="B1" s="67" t="s">
        <v>305</v>
      </c>
      <c r="H1" s="91"/>
    </row>
    <row r="2" spans="2:9" s="7" customFormat="1" ht="12.95" customHeight="1" thickBot="1" x14ac:dyDescent="0.3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5" customHeight="1" x14ac:dyDescent="0.25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5" customHeight="1" x14ac:dyDescent="0.25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5" customHeight="1" x14ac:dyDescent="0.25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5" customHeight="1" x14ac:dyDescent="0.25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5" customHeight="1" x14ac:dyDescent="0.25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5" customHeight="1" x14ac:dyDescent="0.25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5" customHeight="1" x14ac:dyDescent="0.25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5" customHeight="1" x14ac:dyDescent="0.25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5" customHeight="1" x14ac:dyDescent="0.25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5" customHeight="1" x14ac:dyDescent="0.25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5" customHeight="1" x14ac:dyDescent="0.25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3" t="str">
        <f>Meeuwen1!A14</f>
        <v>Vossen Ronny  [NS 20]</v>
      </c>
      <c r="I13" s="278">
        <f>Meeuwen1!T14</f>
        <v>15</v>
      </c>
    </row>
    <row r="14" spans="2:9" ht="12.95" customHeight="1" x14ac:dyDescent="0.25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5" customHeight="1" x14ac:dyDescent="0.25">
      <c r="B15" s="113">
        <f>Horendonk!A16</f>
        <v>0</v>
      </c>
      <c r="C15" s="55">
        <f>Horendonk!T16</f>
        <v>0</v>
      </c>
      <c r="E15" s="263" t="str">
        <f>Kerkuilen!A16</f>
        <v>Van Ginneken Cyriel [NS 20]</v>
      </c>
      <c r="F15" s="278">
        <f>Kerkuilen!T16</f>
        <v>16</v>
      </c>
      <c r="H15" s="52">
        <f>Meeuwen1!A16</f>
        <v>0</v>
      </c>
      <c r="I15" s="55">
        <f>Meeuwen1!T16</f>
        <v>0</v>
      </c>
    </row>
    <row r="16" spans="2:9" ht="12.95" customHeight="1" x14ac:dyDescent="0.25">
      <c r="B16" s="113">
        <f>Horendonk!A17</f>
        <v>0</v>
      </c>
      <c r="C16" s="55">
        <f>Horendonk!T17</f>
        <v>0</v>
      </c>
      <c r="E16" s="263" t="str">
        <f>Kerkuilen!A17</f>
        <v>Van Oers Danny  [NS 50]</v>
      </c>
      <c r="F16" s="278">
        <f>Kerkuilen!T17</f>
        <v>51</v>
      </c>
      <c r="H16" s="52">
        <f>Meeuwen1!A17</f>
        <v>0</v>
      </c>
      <c r="I16" s="55">
        <f>Meeuwen1!T17</f>
        <v>0</v>
      </c>
    </row>
    <row r="17" spans="2:9" ht="12.95" customHeight="1" thickBot="1" x14ac:dyDescent="0.3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5" customHeight="1" thickTop="1" thickBot="1" x14ac:dyDescent="0.3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5" customHeight="1" x14ac:dyDescent="0.25"/>
    <row r="20" spans="2:9" ht="12.95" customHeight="1" thickBot="1" x14ac:dyDescent="0.3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5" customHeight="1" x14ac:dyDescent="0.25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5" customHeight="1" x14ac:dyDescent="0.25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5" customHeight="1" x14ac:dyDescent="0.25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5" customHeight="1" x14ac:dyDescent="0.25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5" customHeight="1" x14ac:dyDescent="0.25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5" customHeight="1" x14ac:dyDescent="0.25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5" customHeight="1" x14ac:dyDescent="0.25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5" customHeight="1" x14ac:dyDescent="0.25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5" customHeight="1" x14ac:dyDescent="0.25">
      <c r="B29" s="263" t="str">
        <f>Meeuwen2!A12</f>
        <v>Present Marc [NS 20]</v>
      </c>
      <c r="C29" s="278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5" customHeight="1" x14ac:dyDescent="0.25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5" customHeight="1" x14ac:dyDescent="0.25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5" customHeight="1" x14ac:dyDescent="0.25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5" customHeight="1" x14ac:dyDescent="0.25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5" customHeight="1" x14ac:dyDescent="0.25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5" customHeight="1" thickBot="1" x14ac:dyDescent="0.3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5" customHeight="1" thickTop="1" thickBot="1" x14ac:dyDescent="0.3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5" customHeight="1" x14ac:dyDescent="0.25">
      <c r="E37" s="111"/>
      <c r="F37" s="29"/>
      <c r="G37" s="7"/>
      <c r="H37" s="7"/>
      <c r="I37" s="57"/>
    </row>
    <row r="38" spans="2:9" ht="12.95" customHeight="1" thickBot="1" x14ac:dyDescent="0.3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5" customHeight="1" x14ac:dyDescent="0.25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5" customHeight="1" x14ac:dyDescent="0.25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5" customHeight="1" x14ac:dyDescent="0.25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5" customHeight="1" x14ac:dyDescent="0.25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5" customHeight="1" x14ac:dyDescent="0.25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5" customHeight="1" x14ac:dyDescent="0.25">
      <c r="B44" s="212" t="str">
        <f>Nispen!A9</f>
        <v>Klijn Toon [NS 20]</v>
      </c>
      <c r="C44" s="278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5" customHeight="1" x14ac:dyDescent="0.25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5" customHeight="1" x14ac:dyDescent="0.25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5" customHeight="1" x14ac:dyDescent="0.25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5" customHeight="1" x14ac:dyDescent="0.25">
      <c r="B48" s="113" t="str">
        <f>Nispen!A13</f>
        <v>Uijdehaag Nico</v>
      </c>
      <c r="C48" s="55">
        <f>Nispen!T13</f>
        <v>23</v>
      </c>
      <c r="E48" s="263" t="str">
        <f>Oudeglorie!A13</f>
        <v>Nelen Jef  [NS 25]</v>
      </c>
      <c r="F48" s="278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5" customHeight="1" x14ac:dyDescent="0.25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5" customHeight="1" x14ac:dyDescent="0.25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5" customHeight="1" x14ac:dyDescent="0.25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5" customHeight="1" x14ac:dyDescent="0.25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5" customHeight="1" thickBot="1" x14ac:dyDescent="0.3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5" customHeight="1" thickTop="1" thickBot="1" x14ac:dyDescent="0.3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5" customHeight="1" x14ac:dyDescent="0.25"/>
    <row r="56" spans="2:9" ht="12.95" customHeight="1" thickBot="1" x14ac:dyDescent="0.3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5" customHeight="1" x14ac:dyDescent="0.25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5" customHeight="1" x14ac:dyDescent="0.25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5" customHeight="1" x14ac:dyDescent="0.25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3" t="str">
        <f>Wildert1!A6</f>
        <v>Buijk Jan  [NS 55]</v>
      </c>
      <c r="I59" s="279">
        <f>Wildert1!T6</f>
        <v>58</v>
      </c>
    </row>
    <row r="60" spans="2:9" ht="12.95" customHeight="1" x14ac:dyDescent="0.25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5" customHeight="1" x14ac:dyDescent="0.25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5" customHeight="1" x14ac:dyDescent="0.25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5" customHeight="1" x14ac:dyDescent="0.25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5" customHeight="1" x14ac:dyDescent="0.25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5" customHeight="1" x14ac:dyDescent="0.25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5" customHeight="1" x14ac:dyDescent="0.25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5" customHeight="1" x14ac:dyDescent="0.25">
      <c r="B67" s="263" t="str">
        <f>Rooiebal2!A14</f>
        <v>Konings Kamiel [NS 20]</v>
      </c>
      <c r="C67" s="278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5" customHeight="1" x14ac:dyDescent="0.25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5" customHeight="1" x14ac:dyDescent="0.25">
      <c r="B69" s="144">
        <f>Rooiebal2!A16</f>
        <v>0</v>
      </c>
      <c r="C69" s="145">
        <f>Rooiebal2!T16</f>
        <v>0</v>
      </c>
      <c r="D69" s="148"/>
      <c r="E69" s="281" t="str">
        <f>Putte!A16</f>
        <v>Moerbeek Wilfried (ns)</v>
      </c>
      <c r="F69" s="173">
        <f>Putte!T16</f>
        <v>20</v>
      </c>
      <c r="G69" s="108"/>
      <c r="H69" s="263" t="str">
        <f>Wildert1!A16</f>
        <v xml:space="preserve">Wetzer Rik [NS 20] </v>
      </c>
      <c r="I69" s="279">
        <f>Wildert1!T16</f>
        <v>15</v>
      </c>
    </row>
    <row r="70" spans="2:9" ht="12.95" customHeight="1" x14ac:dyDescent="0.25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277" t="str">
        <f>Wildert1!A17</f>
        <v>Seymus Eddy (ns)</v>
      </c>
      <c r="I70" s="175">
        <f>Wildert1!T17</f>
        <v>35</v>
      </c>
    </row>
    <row r="71" spans="2:9" ht="12.95" customHeight="1" thickBot="1" x14ac:dyDescent="0.3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5" customHeight="1" thickTop="1" thickBot="1" x14ac:dyDescent="0.3">
      <c r="B72" s="149"/>
      <c r="C72" s="150">
        <f>SUM(C59:C71)</f>
        <v>257</v>
      </c>
      <c r="D72" s="108"/>
      <c r="E72" s="149"/>
      <c r="F72" s="150">
        <f>SUM(F59:F71)</f>
        <v>377</v>
      </c>
      <c r="G72" s="108"/>
      <c r="H72" s="149"/>
      <c r="I72" s="151">
        <f>SUM(I57:I69)</f>
        <v>416</v>
      </c>
    </row>
    <row r="73" spans="2:9" ht="12.95" customHeight="1" x14ac:dyDescent="0.25">
      <c r="B73" s="108"/>
      <c r="C73" s="110"/>
      <c r="D73" s="108"/>
      <c r="E73" s="108"/>
      <c r="F73" s="110"/>
      <c r="G73" s="108"/>
      <c r="H73" s="108"/>
      <c r="I73" s="152"/>
    </row>
    <row r="74" spans="2:9" ht="12.95" customHeight="1" thickBot="1" x14ac:dyDescent="0.3">
      <c r="B74" s="148" t="s">
        <v>34</v>
      </c>
      <c r="C74" s="110"/>
      <c r="D74" s="108"/>
      <c r="E74" s="148" t="s">
        <v>296</v>
      </c>
      <c r="F74" s="153"/>
      <c r="G74" s="108"/>
      <c r="H74" s="108"/>
      <c r="I74" s="110"/>
    </row>
    <row r="75" spans="2:9" ht="12.95" customHeight="1" x14ac:dyDescent="0.25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5" customHeight="1" x14ac:dyDescent="0.25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5" customHeight="1" x14ac:dyDescent="0.25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5" customHeight="1" x14ac:dyDescent="0.25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5" customHeight="1" x14ac:dyDescent="0.25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5" customHeight="1" x14ac:dyDescent="0.25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5" customHeight="1" x14ac:dyDescent="0.25">
      <c r="B81" s="263" t="str">
        <f>Wildert2!A10</f>
        <v>Peeters Hugo [NS 36]</v>
      </c>
      <c r="C81" s="173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5" customHeight="1" x14ac:dyDescent="0.25">
      <c r="B82" s="262" t="str">
        <f>Wildert2!A11</f>
        <v xml:space="preserve">Scholtis Vic  [NS 49] </v>
      </c>
      <c r="C82" s="173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5" customHeight="1" x14ac:dyDescent="0.25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25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25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25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.75" thickBot="1" x14ac:dyDescent="0.3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6.5" thickTop="1" thickBot="1" x14ac:dyDescent="0.3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N42" sqref="N42"/>
    </sheetView>
  </sheetViews>
  <sheetFormatPr defaultRowHeight="15" x14ac:dyDescent="0.25"/>
  <cols>
    <col min="1" max="1" width="4.7109375" customWidth="1"/>
    <col min="2" max="3" width="22.85546875" customWidth="1"/>
    <col min="4" max="4" width="22.5703125" customWidth="1"/>
    <col min="5" max="5" width="25.28515625" customWidth="1"/>
    <col min="6" max="6" width="8.5703125" style="27" customWidth="1"/>
    <col min="7" max="7" width="14.85546875" style="27" customWidth="1"/>
    <col min="8" max="8" width="7" style="43" customWidth="1"/>
    <col min="9" max="9" width="21.28515625" customWidth="1"/>
    <col min="10" max="10" width="28.7109375" customWidth="1"/>
  </cols>
  <sheetData>
    <row r="1" spans="1:26" ht="5.0999999999999996" customHeight="1" x14ac:dyDescent="0.25"/>
    <row r="2" spans="1:26" s="59" customFormat="1" ht="20.100000000000001" customHeight="1" x14ac:dyDescent="0.35">
      <c r="A2"/>
      <c r="C2" s="333" t="s">
        <v>332</v>
      </c>
      <c r="D2" s="333"/>
      <c r="E2" s="333"/>
      <c r="F2" s="333"/>
      <c r="G2" s="333"/>
      <c r="H2" s="333"/>
      <c r="I2" s="333"/>
    </row>
    <row r="3" spans="1:26" s="59" customFormat="1" ht="20.100000000000001" customHeight="1" x14ac:dyDescent="0.35">
      <c r="A3"/>
      <c r="C3" s="334" t="s">
        <v>198</v>
      </c>
      <c r="D3" s="334"/>
      <c r="E3" s="334"/>
      <c r="F3" s="334"/>
      <c r="G3" s="334"/>
      <c r="H3" s="334"/>
      <c r="I3" s="334"/>
    </row>
    <row r="4" spans="1:26" ht="5.0999999999999996" customHeight="1" x14ac:dyDescent="0.25">
      <c r="C4" s="61"/>
      <c r="D4" s="61"/>
      <c r="E4" s="61"/>
      <c r="F4" s="62"/>
      <c r="G4" s="62"/>
      <c r="H4" s="63"/>
      <c r="I4" s="61"/>
      <c r="Z4" t="b">
        <v>0</v>
      </c>
    </row>
    <row r="6" spans="1:26" ht="15.75" x14ac:dyDescent="0.25">
      <c r="B6" s="181" t="s">
        <v>5</v>
      </c>
      <c r="C6" s="181" t="s">
        <v>327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25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25">
      <c r="B8" s="61"/>
      <c r="C8" s="61"/>
      <c r="D8" s="61"/>
      <c r="E8" s="61"/>
      <c r="F8" s="62"/>
      <c r="G8" s="62"/>
      <c r="H8" s="63"/>
      <c r="I8" s="61"/>
    </row>
    <row r="9" spans="1:26" ht="15.75" x14ac:dyDescent="0.25">
      <c r="B9" s="186" t="s">
        <v>6</v>
      </c>
      <c r="C9" s="193" t="s">
        <v>327</v>
      </c>
      <c r="D9" s="186" t="s">
        <v>55</v>
      </c>
      <c r="E9" s="186" t="s">
        <v>320</v>
      </c>
      <c r="F9" s="187">
        <v>2910</v>
      </c>
      <c r="G9" s="187" t="s">
        <v>200</v>
      </c>
      <c r="H9" s="188"/>
      <c r="I9" s="186" t="s">
        <v>342</v>
      </c>
      <c r="J9" s="189" t="s">
        <v>325</v>
      </c>
      <c r="K9" s="190"/>
    </row>
    <row r="10" spans="1:26" ht="15.75" customHeight="1" x14ac:dyDescent="0.25">
      <c r="B10" s="191"/>
      <c r="C10" s="191"/>
      <c r="D10" s="191"/>
      <c r="E10" s="186"/>
      <c r="F10" s="187"/>
      <c r="G10" s="187"/>
      <c r="H10" s="188" t="s">
        <v>203</v>
      </c>
      <c r="I10" s="186" t="s">
        <v>321</v>
      </c>
      <c r="J10" s="190"/>
      <c r="K10" s="190"/>
    </row>
    <row r="11" spans="1:26" ht="5.0999999999999996" customHeight="1" x14ac:dyDescent="0.25">
      <c r="H11" s="63"/>
      <c r="I11" s="61"/>
    </row>
    <row r="12" spans="1:26" ht="15.75" x14ac:dyDescent="0.25">
      <c r="B12" s="185" t="s">
        <v>205</v>
      </c>
      <c r="C12" s="185" t="s">
        <v>327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000000000000004" customHeight="1" x14ac:dyDescent="0.25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000000000000004" customHeight="1" x14ac:dyDescent="0.25">
      <c r="H14" s="63"/>
      <c r="I14" s="61"/>
      <c r="J14" s="60"/>
    </row>
    <row r="15" spans="1:26" s="10" customFormat="1" ht="22.9" customHeight="1" x14ac:dyDescent="0.25">
      <c r="A15"/>
      <c r="B15" s="201" t="s">
        <v>212</v>
      </c>
      <c r="C15" s="201" t="s">
        <v>327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000000000000004" customHeight="1" x14ac:dyDescent="0.25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25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" customHeight="1" x14ac:dyDescent="0.25">
      <c r="A18"/>
      <c r="B18" s="196" t="s">
        <v>15</v>
      </c>
      <c r="C18" s="196" t="s">
        <v>327</v>
      </c>
      <c r="D18" s="196" t="s">
        <v>328</v>
      </c>
      <c r="E18" s="196" t="s">
        <v>322</v>
      </c>
      <c r="F18" s="197">
        <v>2910</v>
      </c>
      <c r="G18" s="197" t="s">
        <v>200</v>
      </c>
      <c r="H18" s="199" t="s">
        <v>203</v>
      </c>
      <c r="I18" s="198" t="s">
        <v>323</v>
      </c>
      <c r="J18" s="200" t="s">
        <v>324</v>
      </c>
      <c r="K18" s="196"/>
    </row>
    <row r="19" spans="1:11" ht="4.9000000000000004" customHeight="1" x14ac:dyDescent="0.25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25">
      <c r="H20" s="63"/>
      <c r="I20" s="61"/>
    </row>
    <row r="21" spans="1:11" ht="15.75" x14ac:dyDescent="0.25">
      <c r="B21" s="193" t="s">
        <v>11</v>
      </c>
      <c r="C21" s="193" t="s">
        <v>327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203</v>
      </c>
      <c r="I21" s="193" t="s">
        <v>215</v>
      </c>
      <c r="J21" s="189" t="s">
        <v>214</v>
      </c>
      <c r="K21" s="190"/>
    </row>
    <row r="22" spans="1:11" ht="15.75" x14ac:dyDescent="0.25">
      <c r="B22" s="193"/>
      <c r="C22" s="193"/>
      <c r="D22" s="193"/>
      <c r="E22" s="193"/>
      <c r="F22" s="194"/>
      <c r="G22" s="194"/>
      <c r="H22" s="195"/>
      <c r="I22" s="193"/>
      <c r="J22" s="190"/>
      <c r="K22" s="190"/>
    </row>
    <row r="23" spans="1:11" ht="5.0999999999999996" customHeight="1" x14ac:dyDescent="0.25">
      <c r="H23" s="63"/>
      <c r="I23" s="61"/>
    </row>
    <row r="24" spans="1:11" s="10" customFormat="1" ht="22.9" customHeight="1" x14ac:dyDescent="0.25">
      <c r="A24"/>
      <c r="B24" s="196" t="s">
        <v>216</v>
      </c>
      <c r="C24" s="196" t="s">
        <v>327</v>
      </c>
      <c r="D24" s="196" t="s">
        <v>122</v>
      </c>
      <c r="E24" s="196" t="s">
        <v>217</v>
      </c>
      <c r="F24" s="197">
        <v>2910</v>
      </c>
      <c r="G24" s="197" t="s">
        <v>200</v>
      </c>
      <c r="H24" s="199" t="s">
        <v>203</v>
      </c>
      <c r="I24" s="198" t="s">
        <v>218</v>
      </c>
      <c r="J24" s="200" t="s">
        <v>219</v>
      </c>
      <c r="K24" s="196"/>
    </row>
    <row r="25" spans="1:11" ht="4.9000000000000004" customHeight="1" x14ac:dyDescent="0.25">
      <c r="H25" s="63"/>
      <c r="I25" s="61"/>
    </row>
    <row r="26" spans="1:11" ht="15.75" x14ac:dyDescent="0.25">
      <c r="B26" s="193" t="s">
        <v>220</v>
      </c>
      <c r="C26" s="193" t="s">
        <v>327</v>
      </c>
      <c r="D26" s="193" t="s">
        <v>72</v>
      </c>
      <c r="E26" s="193" t="s">
        <v>221</v>
      </c>
      <c r="F26" s="194">
        <v>2910</v>
      </c>
      <c r="G26" s="194" t="s">
        <v>200</v>
      </c>
      <c r="H26" s="195"/>
      <c r="I26" s="193" t="s">
        <v>222</v>
      </c>
      <c r="J26" s="189" t="s">
        <v>223</v>
      </c>
      <c r="K26" s="190"/>
    </row>
    <row r="27" spans="1:11" ht="4.9000000000000004" customHeight="1" x14ac:dyDescent="0.25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25">
      <c r="B28" s="61"/>
      <c r="C28" s="61"/>
      <c r="D28" s="61"/>
      <c r="E28" s="61"/>
      <c r="F28" s="62"/>
      <c r="G28" s="62"/>
      <c r="H28" s="63"/>
      <c r="I28" s="61"/>
    </row>
    <row r="29" spans="1:11" ht="15.75" x14ac:dyDescent="0.25">
      <c r="B29" s="181" t="s">
        <v>39</v>
      </c>
      <c r="C29" s="196" t="s">
        <v>327</v>
      </c>
      <c r="D29" s="181" t="s">
        <v>150</v>
      </c>
      <c r="E29" s="181" t="s">
        <v>338</v>
      </c>
      <c r="F29" s="182">
        <v>2950</v>
      </c>
      <c r="G29" s="182" t="s">
        <v>339</v>
      </c>
      <c r="H29" s="183" t="s">
        <v>203</v>
      </c>
      <c r="I29" s="181" t="s">
        <v>326</v>
      </c>
      <c r="J29" s="184" t="s">
        <v>224</v>
      </c>
      <c r="K29" s="185"/>
    </row>
    <row r="30" spans="1:11" ht="4.9000000000000004" customHeight="1" x14ac:dyDescent="0.25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000000000000004" customHeight="1" x14ac:dyDescent="0.25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" customHeight="1" x14ac:dyDescent="0.25">
      <c r="A32"/>
      <c r="B32" s="203" t="s">
        <v>225</v>
      </c>
      <c r="C32" s="193" t="s">
        <v>327</v>
      </c>
      <c r="D32" s="203" t="s">
        <v>363</v>
      </c>
      <c r="E32" s="203" t="s">
        <v>364</v>
      </c>
      <c r="F32" s="204">
        <v>2910</v>
      </c>
      <c r="G32" s="204" t="s">
        <v>200</v>
      </c>
      <c r="H32" s="205" t="s">
        <v>203</v>
      </c>
      <c r="I32" s="203" t="s">
        <v>365</v>
      </c>
      <c r="J32" s="206" t="s">
        <v>366</v>
      </c>
      <c r="K32" s="201"/>
    </row>
    <row r="33" spans="1:11" ht="4.9000000000000004" customHeight="1" x14ac:dyDescent="0.25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" customHeight="1" x14ac:dyDescent="0.25">
      <c r="A34"/>
      <c r="B34" s="198" t="s">
        <v>226</v>
      </c>
      <c r="C34" s="196" t="s">
        <v>327</v>
      </c>
      <c r="D34" s="198" t="s">
        <v>162</v>
      </c>
      <c r="E34" s="198" t="s">
        <v>227</v>
      </c>
      <c r="F34" s="207">
        <v>2910</v>
      </c>
      <c r="G34" s="207" t="s">
        <v>200</v>
      </c>
      <c r="H34" s="199" t="s">
        <v>203</v>
      </c>
      <c r="I34" s="198" t="s">
        <v>228</v>
      </c>
      <c r="J34" s="200" t="s">
        <v>229</v>
      </c>
      <c r="K34" s="196"/>
    </row>
    <row r="35" spans="1:11" ht="4.9000000000000004" customHeight="1" x14ac:dyDescent="0.25">
      <c r="B35" s="61"/>
      <c r="C35" s="61"/>
      <c r="D35" s="61"/>
      <c r="E35" s="61"/>
      <c r="F35" s="62"/>
      <c r="G35" s="62"/>
      <c r="H35" s="63"/>
      <c r="I35" s="61"/>
    </row>
    <row r="36" spans="1:11" ht="15.75" x14ac:dyDescent="0.25">
      <c r="B36" s="193" t="s">
        <v>12</v>
      </c>
      <c r="C36" s="193" t="s">
        <v>327</v>
      </c>
      <c r="D36" s="193" t="s">
        <v>170</v>
      </c>
      <c r="E36" s="193" t="s">
        <v>230</v>
      </c>
      <c r="F36" s="194">
        <v>2910</v>
      </c>
      <c r="G36" s="194" t="s">
        <v>200</v>
      </c>
      <c r="H36" s="195"/>
      <c r="I36" s="193" t="s">
        <v>231</v>
      </c>
      <c r="J36" s="189" t="s">
        <v>232</v>
      </c>
      <c r="K36" s="190"/>
    </row>
    <row r="37" spans="1:11" ht="15.75" x14ac:dyDescent="0.25">
      <c r="B37" s="193"/>
      <c r="C37" s="193"/>
      <c r="D37" s="193"/>
      <c r="E37" s="193"/>
      <c r="F37" s="194"/>
      <c r="G37" s="194"/>
      <c r="H37" s="195" t="s">
        <v>203</v>
      </c>
      <c r="I37" s="193" t="s">
        <v>233</v>
      </c>
      <c r="J37" s="190"/>
      <c r="K37" s="190"/>
    </row>
    <row r="38" spans="1:11" ht="5.0999999999999996" customHeight="1" x14ac:dyDescent="0.25">
      <c r="H38" s="63"/>
      <c r="I38" s="61"/>
    </row>
    <row r="39" spans="1:11" ht="15.75" x14ac:dyDescent="0.25">
      <c r="B39" s="185" t="s">
        <v>8</v>
      </c>
      <c r="C39" s="196" t="s">
        <v>327</v>
      </c>
      <c r="D39" s="185" t="s">
        <v>182</v>
      </c>
      <c r="E39" s="185" t="s">
        <v>234</v>
      </c>
      <c r="F39" s="192">
        <v>2910</v>
      </c>
      <c r="G39" s="192" t="s">
        <v>200</v>
      </c>
      <c r="H39" s="183"/>
      <c r="I39" s="181" t="s">
        <v>235</v>
      </c>
      <c r="J39" s="184" t="s">
        <v>236</v>
      </c>
      <c r="K39" s="185"/>
    </row>
    <row r="40" spans="1:11" ht="15.75" x14ac:dyDescent="0.25">
      <c r="B40" s="185"/>
      <c r="C40" s="185"/>
      <c r="D40" s="185"/>
      <c r="E40" s="185"/>
      <c r="F40" s="192"/>
      <c r="G40" s="192"/>
      <c r="H40" s="183" t="s">
        <v>203</v>
      </c>
      <c r="I40" s="181" t="s">
        <v>330</v>
      </c>
      <c r="J40" s="185"/>
      <c r="K40" s="185"/>
    </row>
    <row r="41" spans="1:11" ht="5.0999999999999996" customHeight="1" x14ac:dyDescent="0.25">
      <c r="H41" s="63"/>
      <c r="I41" s="61"/>
    </row>
    <row r="42" spans="1:11" s="10" customFormat="1" ht="22.9" customHeight="1" x14ac:dyDescent="0.25">
      <c r="A42"/>
      <c r="B42" s="201" t="s">
        <v>291</v>
      </c>
      <c r="C42" s="193" t="s">
        <v>327</v>
      </c>
      <c r="D42" s="201" t="s">
        <v>187</v>
      </c>
      <c r="E42" s="203" t="s">
        <v>294</v>
      </c>
      <c r="F42" s="202">
        <v>2910</v>
      </c>
      <c r="G42" s="202" t="s">
        <v>200</v>
      </c>
      <c r="H42" s="205" t="s">
        <v>203</v>
      </c>
      <c r="I42" s="203" t="s">
        <v>331</v>
      </c>
      <c r="J42" s="206" t="s">
        <v>329</v>
      </c>
      <c r="K42" s="201"/>
    </row>
    <row r="43" spans="1:11" ht="4.9000000000000004" customHeight="1" x14ac:dyDescent="0.25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25"/>
    <row r="46" spans="1:11" ht="21" x14ac:dyDescent="0.35">
      <c r="C46" s="64"/>
    </row>
    <row r="47" spans="1:11" ht="12" customHeight="1" x14ac:dyDescent="0.25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5" x14ac:dyDescent="0.25"/>
  <cols>
    <col min="1" max="1" width="4.7109375" customWidth="1"/>
    <col min="2" max="2" width="25.28515625" customWidth="1"/>
    <col min="3" max="3" width="23.5703125" customWidth="1"/>
    <col min="4" max="4" width="24.85546875" customWidth="1"/>
    <col min="6" max="6" width="15.5703125" customWidth="1"/>
    <col min="7" max="7" width="4" style="27" customWidth="1"/>
    <col min="8" max="8" width="21.28515625" customWidth="1"/>
    <col min="9" max="9" width="9.140625" customWidth="1"/>
    <col min="10" max="10" width="15.5703125" style="27" customWidth="1"/>
  </cols>
  <sheetData>
    <row r="2" spans="2:10" s="59" customFormat="1" ht="24.95" customHeight="1" x14ac:dyDescent="0.35">
      <c r="B2" s="333" t="s">
        <v>303</v>
      </c>
      <c r="C2" s="333"/>
      <c r="D2" s="333"/>
      <c r="E2" s="333"/>
      <c r="F2" s="333"/>
      <c r="G2" s="333"/>
      <c r="H2" s="333"/>
      <c r="J2" s="114"/>
    </row>
    <row r="3" spans="2:10" s="59" customFormat="1" ht="24.95" customHeight="1" x14ac:dyDescent="0.35">
      <c r="B3" s="333" t="s">
        <v>237</v>
      </c>
      <c r="C3" s="333"/>
      <c r="D3" s="333"/>
      <c r="E3" s="333"/>
      <c r="F3" s="333"/>
      <c r="G3" s="333"/>
      <c r="H3" s="333"/>
      <c r="J3" s="114"/>
    </row>
    <row r="4" spans="2:10" ht="12.95" customHeight="1" x14ac:dyDescent="0.25">
      <c r="J4" s="116" t="s">
        <v>238</v>
      </c>
    </row>
    <row r="6" spans="2:10" s="61" customFormat="1" ht="25.15" customHeight="1" x14ac:dyDescent="0.25">
      <c r="B6" s="61" t="s">
        <v>15</v>
      </c>
      <c r="C6" s="61" t="s">
        <v>239</v>
      </c>
      <c r="D6" s="61" t="s">
        <v>240</v>
      </c>
      <c r="E6" s="61">
        <v>2910</v>
      </c>
      <c r="F6" s="61" t="s">
        <v>200</v>
      </c>
      <c r="H6" s="61" t="s">
        <v>241</v>
      </c>
      <c r="J6" s="62" t="s">
        <v>242</v>
      </c>
    </row>
    <row r="7" spans="2:10" s="61" customFormat="1" ht="25.15" customHeight="1" x14ac:dyDescent="0.25">
      <c r="B7" s="61" t="s">
        <v>205</v>
      </c>
      <c r="C7" s="61" t="s">
        <v>239</v>
      </c>
      <c r="D7" s="61" t="s">
        <v>240</v>
      </c>
      <c r="E7" s="61">
        <v>2910</v>
      </c>
      <c r="F7" s="61" t="s">
        <v>200</v>
      </c>
      <c r="H7" s="61" t="s">
        <v>241</v>
      </c>
      <c r="J7" s="62" t="s">
        <v>243</v>
      </c>
    </row>
    <row r="8" spans="2:10" s="61" customFormat="1" ht="25.15" customHeight="1" x14ac:dyDescent="0.25">
      <c r="B8" s="61" t="s">
        <v>212</v>
      </c>
      <c r="C8" s="61" t="s">
        <v>239</v>
      </c>
      <c r="D8" s="61" t="s">
        <v>240</v>
      </c>
      <c r="E8" s="61">
        <v>2910</v>
      </c>
      <c r="F8" s="61" t="s">
        <v>200</v>
      </c>
      <c r="G8" s="62"/>
      <c r="H8" s="61" t="s">
        <v>241</v>
      </c>
      <c r="J8" s="62" t="s">
        <v>244</v>
      </c>
    </row>
    <row r="9" spans="2:10" s="61" customFormat="1" ht="25.15" customHeight="1" x14ac:dyDescent="0.25">
      <c r="B9" s="61" t="s">
        <v>5</v>
      </c>
      <c r="C9" s="61" t="s">
        <v>245</v>
      </c>
      <c r="D9" s="61" t="s">
        <v>246</v>
      </c>
      <c r="E9" s="61">
        <v>2910</v>
      </c>
      <c r="F9" s="61" t="s">
        <v>200</v>
      </c>
      <c r="G9" s="62"/>
      <c r="H9" s="61" t="s">
        <v>247</v>
      </c>
      <c r="J9" s="62" t="s">
        <v>248</v>
      </c>
    </row>
    <row r="10" spans="2:10" s="61" customFormat="1" ht="25.15" customHeight="1" x14ac:dyDescent="0.3">
      <c r="B10" s="66" t="s">
        <v>6</v>
      </c>
      <c r="C10" s="61" t="s">
        <v>249</v>
      </c>
      <c r="D10" s="61" t="s">
        <v>250</v>
      </c>
      <c r="E10" s="61">
        <v>2910</v>
      </c>
      <c r="F10" s="61" t="s">
        <v>200</v>
      </c>
      <c r="G10" s="62"/>
      <c r="H10" s="61" t="s">
        <v>251</v>
      </c>
      <c r="J10" s="62" t="s">
        <v>248</v>
      </c>
    </row>
    <row r="11" spans="2:10" s="61" customFormat="1" ht="25.15" customHeight="1" x14ac:dyDescent="0.3">
      <c r="B11" s="66" t="s">
        <v>220</v>
      </c>
      <c r="C11" s="61" t="s">
        <v>252</v>
      </c>
      <c r="D11" s="61" t="s">
        <v>253</v>
      </c>
      <c r="E11" s="61">
        <v>2910</v>
      </c>
      <c r="F11" s="61" t="s">
        <v>200</v>
      </c>
      <c r="G11" s="62"/>
      <c r="H11" s="61" t="s">
        <v>254</v>
      </c>
      <c r="J11" s="62" t="s">
        <v>244</v>
      </c>
    </row>
    <row r="12" spans="2:10" s="61" customFormat="1" ht="25.15" customHeight="1" x14ac:dyDescent="0.3">
      <c r="B12" s="66" t="s">
        <v>11</v>
      </c>
      <c r="C12" s="61" t="s">
        <v>255</v>
      </c>
      <c r="D12" s="61" t="s">
        <v>256</v>
      </c>
      <c r="E12" s="61">
        <v>2910</v>
      </c>
      <c r="F12" s="61" t="s">
        <v>200</v>
      </c>
      <c r="G12" s="62"/>
      <c r="H12" s="61" t="s">
        <v>257</v>
      </c>
      <c r="J12" s="62" t="s">
        <v>242</v>
      </c>
    </row>
    <row r="13" spans="2:10" s="61" customFormat="1" ht="25.15" customHeight="1" x14ac:dyDescent="0.3">
      <c r="B13" s="66" t="s">
        <v>216</v>
      </c>
      <c r="C13" s="61" t="s">
        <v>258</v>
      </c>
      <c r="D13" s="61" t="s">
        <v>259</v>
      </c>
      <c r="E13" s="61" t="s">
        <v>260</v>
      </c>
      <c r="F13" s="61" t="s">
        <v>261</v>
      </c>
      <c r="G13" s="62" t="s">
        <v>262</v>
      </c>
      <c r="H13" s="61" t="s">
        <v>263</v>
      </c>
      <c r="J13" s="62" t="s">
        <v>242</v>
      </c>
    </row>
    <row r="14" spans="2:10" s="61" customFormat="1" ht="25.15" customHeight="1" x14ac:dyDescent="0.3">
      <c r="B14" s="66" t="s">
        <v>264</v>
      </c>
      <c r="C14" s="65" t="s">
        <v>265</v>
      </c>
      <c r="D14" s="61" t="s">
        <v>266</v>
      </c>
      <c r="E14" s="61">
        <v>2940</v>
      </c>
      <c r="F14" s="61" t="s">
        <v>267</v>
      </c>
      <c r="G14" s="62"/>
      <c r="H14" s="61" t="s">
        <v>268</v>
      </c>
      <c r="J14" s="62" t="s">
        <v>242</v>
      </c>
    </row>
    <row r="15" spans="2:10" s="61" customFormat="1" ht="25.15" customHeight="1" x14ac:dyDescent="0.3">
      <c r="B15" s="66" t="s">
        <v>7</v>
      </c>
      <c r="C15" s="61" t="s">
        <v>255</v>
      </c>
      <c r="D15" s="61" t="s">
        <v>256</v>
      </c>
      <c r="E15" s="61">
        <v>2910</v>
      </c>
      <c r="F15" s="61" t="s">
        <v>200</v>
      </c>
      <c r="G15" s="62"/>
      <c r="H15" s="61" t="s">
        <v>257</v>
      </c>
      <c r="J15" s="62" t="s">
        <v>242</v>
      </c>
    </row>
    <row r="16" spans="2:10" s="61" customFormat="1" ht="25.15" customHeight="1" x14ac:dyDescent="0.3">
      <c r="B16" s="66" t="s">
        <v>9</v>
      </c>
      <c r="C16" s="61" t="s">
        <v>255</v>
      </c>
      <c r="D16" s="61" t="s">
        <v>256</v>
      </c>
      <c r="E16" s="61">
        <v>2910</v>
      </c>
      <c r="F16" s="61" t="s">
        <v>200</v>
      </c>
      <c r="G16" s="62"/>
      <c r="H16" s="61" t="s">
        <v>257</v>
      </c>
      <c r="J16" s="62" t="s">
        <v>243</v>
      </c>
    </row>
    <row r="17" spans="2:10" s="61" customFormat="1" ht="25.15" customHeight="1" x14ac:dyDescent="0.3">
      <c r="B17" s="66" t="s">
        <v>12</v>
      </c>
      <c r="C17" s="65" t="s">
        <v>245</v>
      </c>
      <c r="D17" s="61" t="s">
        <v>246</v>
      </c>
      <c r="E17" s="61">
        <v>2910</v>
      </c>
      <c r="F17" s="61" t="s">
        <v>200</v>
      </c>
      <c r="G17" s="62"/>
      <c r="H17" s="61" t="s">
        <v>269</v>
      </c>
      <c r="J17" s="62" t="s">
        <v>270</v>
      </c>
    </row>
    <row r="18" spans="2:10" s="61" customFormat="1" ht="25.15" customHeight="1" x14ac:dyDescent="0.3">
      <c r="B18" s="66" t="s">
        <v>8</v>
      </c>
      <c r="C18" s="61" t="s">
        <v>271</v>
      </c>
      <c r="D18" s="61" t="s">
        <v>272</v>
      </c>
      <c r="E18" s="61">
        <v>2910</v>
      </c>
      <c r="F18" s="61" t="s">
        <v>200</v>
      </c>
      <c r="G18" s="62" t="s">
        <v>127</v>
      </c>
      <c r="H18" s="61" t="s">
        <v>273</v>
      </c>
      <c r="J18" s="62" t="s">
        <v>243</v>
      </c>
    </row>
    <row r="19" spans="2:10" s="61" customFormat="1" ht="25.15" customHeight="1" x14ac:dyDescent="0.25">
      <c r="B19" s="61" t="s">
        <v>291</v>
      </c>
      <c r="C19" s="61" t="s">
        <v>292</v>
      </c>
      <c r="D19" s="61" t="s">
        <v>293</v>
      </c>
      <c r="E19" s="61">
        <v>2910</v>
      </c>
      <c r="F19" s="61" t="s">
        <v>200</v>
      </c>
      <c r="G19" s="62"/>
      <c r="J19" s="62" t="s">
        <v>243</v>
      </c>
    </row>
    <row r="20" spans="2:10" s="61" customFormat="1" ht="3" customHeight="1" x14ac:dyDescent="0.3">
      <c r="B20" s="66"/>
      <c r="G20" s="62"/>
      <c r="J20" s="62"/>
    </row>
    <row r="21" spans="2:10" s="61" customFormat="1" ht="18" customHeight="1" x14ac:dyDescent="0.25">
      <c r="G21" s="62"/>
      <c r="J21" s="62"/>
    </row>
    <row r="22" spans="2:10" s="82" customFormat="1" ht="18.75" x14ac:dyDescent="0.3">
      <c r="C22" s="82" t="s">
        <v>274</v>
      </c>
      <c r="D22" s="82" t="s">
        <v>275</v>
      </c>
      <c r="G22" s="83"/>
      <c r="J22" s="83"/>
    </row>
    <row r="23" spans="2:10" s="82" customFormat="1" ht="18.75" x14ac:dyDescent="0.3">
      <c r="G23" s="83"/>
      <c r="J23" s="83"/>
    </row>
    <row r="24" spans="2:10" s="61" customFormat="1" ht="15.75" x14ac:dyDescent="0.25">
      <c r="B24" s="61" t="s">
        <v>276</v>
      </c>
      <c r="C24" s="61" t="s">
        <v>136</v>
      </c>
      <c r="D24" s="61" t="s">
        <v>277</v>
      </c>
      <c r="E24" s="61">
        <v>2910</v>
      </c>
      <c r="F24" s="61" t="s">
        <v>200</v>
      </c>
      <c r="G24" s="62"/>
      <c r="H24" s="61" t="s">
        <v>278</v>
      </c>
      <c r="I24" s="60" t="s">
        <v>279</v>
      </c>
      <c r="J24" s="62"/>
    </row>
    <row r="25" spans="2:10" s="61" customFormat="1" ht="9.9499999999999993" customHeight="1" x14ac:dyDescent="0.25">
      <c r="G25" s="62"/>
      <c r="H25" s="61" t="s">
        <v>127</v>
      </c>
      <c r="J25" s="62"/>
    </row>
    <row r="26" spans="2:10" s="61" customFormat="1" ht="15.75" x14ac:dyDescent="0.25">
      <c r="B26" s="61" t="s">
        <v>280</v>
      </c>
      <c r="C26" s="61" t="s">
        <v>136</v>
      </c>
      <c r="D26" s="61" t="s">
        <v>277</v>
      </c>
      <c r="E26" s="61">
        <v>2910</v>
      </c>
      <c r="F26" s="61" t="s">
        <v>200</v>
      </c>
      <c r="G26" s="62"/>
      <c r="H26" s="61" t="s">
        <v>278</v>
      </c>
      <c r="I26" s="60" t="s">
        <v>279</v>
      </c>
      <c r="J26" s="62"/>
    </row>
    <row r="27" spans="2:10" s="61" customFormat="1" ht="9.9499999999999993" customHeight="1" x14ac:dyDescent="0.25">
      <c r="G27" s="62"/>
      <c r="J27" s="62"/>
    </row>
    <row r="28" spans="2:10" ht="15.75" x14ac:dyDescent="0.25">
      <c r="B28" t="s">
        <v>281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499999999999993" customHeight="1" x14ac:dyDescent="0.25"/>
    <row r="30" spans="2:10" ht="15.75" x14ac:dyDescent="0.25">
      <c r="H30" s="100" t="s">
        <v>344</v>
      </c>
      <c r="I30" s="60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2025-12-06T07:00:55Z</cp:lastPrinted>
  <dcterms:created xsi:type="dcterms:W3CDTF">2017-09-04T07:39:22Z</dcterms:created>
  <dcterms:modified xsi:type="dcterms:W3CDTF">2026-01-16T09:59:30Z</dcterms:modified>
  <cp:category/>
  <cp:contentStatus/>
</cp:coreProperties>
</file>