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GEMEENTELIJK\WEBSITE\"/>
    </mc:Choice>
  </mc:AlternateContent>
  <xr:revisionPtr revIDLastSave="0" documentId="13_ncr:1_{32F2BF85-08E9-4CA6-887F-CF09A6212CA2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28680" yWindow="810" windowWidth="30960" windowHeight="16800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5" i="17" l="1"/>
  <c r="C193" i="17"/>
  <c r="A8" i="18"/>
  <c r="E175" i="17"/>
  <c r="AD174" i="17"/>
  <c r="AC174" i="17"/>
  <c r="AB174" i="17"/>
  <c r="AA174" i="17"/>
  <c r="Z174" i="17"/>
  <c r="Y174" i="17"/>
  <c r="X174" i="17"/>
  <c r="W174" i="17"/>
  <c r="V174" i="17"/>
  <c r="U174" i="17"/>
  <c r="T174" i="17"/>
  <c r="S174" i="17"/>
  <c r="Q174" i="17"/>
  <c r="P174" i="17"/>
  <c r="O174" i="17"/>
  <c r="N174" i="17"/>
  <c r="M174" i="17"/>
  <c r="L174" i="17"/>
  <c r="K174" i="17"/>
  <c r="J174" i="17"/>
  <c r="I174" i="17"/>
  <c r="H174" i="17"/>
  <c r="G174" i="17"/>
  <c r="F174" i="17"/>
  <c r="E174" i="17"/>
  <c r="B173" i="17"/>
  <c r="C173" i="17"/>
  <c r="E173" i="17"/>
  <c r="A173" i="17" s="1"/>
  <c r="F173" i="17"/>
  <c r="G173" i="17"/>
  <c r="H173" i="17"/>
  <c r="I173" i="17"/>
  <c r="J173" i="17"/>
  <c r="K173" i="17"/>
  <c r="L173" i="17"/>
  <c r="M173" i="17"/>
  <c r="N173" i="17"/>
  <c r="O173" i="17"/>
  <c r="P173" i="17"/>
  <c r="Q173" i="17"/>
  <c r="R173" i="17"/>
  <c r="S173" i="17"/>
  <c r="T173" i="17"/>
  <c r="U173" i="17"/>
  <c r="V173" i="17"/>
  <c r="W173" i="17"/>
  <c r="X173" i="17"/>
  <c r="Y173" i="17"/>
  <c r="Z173" i="17"/>
  <c r="AA173" i="17"/>
  <c r="AB173" i="17"/>
  <c r="AC173" i="17"/>
  <c r="AD173" i="17"/>
  <c r="B191" i="17"/>
  <c r="E191" i="17"/>
  <c r="F191" i="17"/>
  <c r="G191" i="17"/>
  <c r="H191" i="17"/>
  <c r="I191" i="17"/>
  <c r="J191" i="17"/>
  <c r="K191" i="17"/>
  <c r="L191" i="17"/>
  <c r="M191" i="17"/>
  <c r="N191" i="17"/>
  <c r="O191" i="17"/>
  <c r="P191" i="17"/>
  <c r="Q191" i="17"/>
  <c r="R191" i="17"/>
  <c r="S191" i="17"/>
  <c r="T191" i="17"/>
  <c r="U191" i="17"/>
  <c r="V191" i="17"/>
  <c r="W191" i="17"/>
  <c r="X191" i="17"/>
  <c r="Y191" i="17"/>
  <c r="Z191" i="17"/>
  <c r="AA191" i="17"/>
  <c r="AB191" i="17"/>
  <c r="AC191" i="17"/>
  <c r="AD191" i="17"/>
  <c r="B189" i="17"/>
  <c r="E189" i="17"/>
  <c r="F189" i="17"/>
  <c r="G189" i="17"/>
  <c r="H189" i="17"/>
  <c r="I189" i="17"/>
  <c r="J189" i="17"/>
  <c r="K189" i="17"/>
  <c r="L189" i="17"/>
  <c r="M189" i="17"/>
  <c r="N189" i="17"/>
  <c r="O189" i="17"/>
  <c r="P189" i="17"/>
  <c r="Q189" i="17"/>
  <c r="R189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B190" i="17"/>
  <c r="E190" i="17"/>
  <c r="F190" i="17"/>
  <c r="G190" i="17"/>
  <c r="H190" i="17"/>
  <c r="I190" i="17"/>
  <c r="J190" i="17"/>
  <c r="K190" i="17"/>
  <c r="L190" i="17"/>
  <c r="M190" i="17"/>
  <c r="N190" i="17"/>
  <c r="O190" i="17"/>
  <c r="P190" i="17"/>
  <c r="Q190" i="17"/>
  <c r="R190" i="17"/>
  <c r="S190" i="17"/>
  <c r="T190" i="17"/>
  <c r="U190" i="17"/>
  <c r="V190" i="17"/>
  <c r="W190" i="17"/>
  <c r="X190" i="17"/>
  <c r="Y190" i="17"/>
  <c r="Z190" i="17"/>
  <c r="AA190" i="17"/>
  <c r="AB190" i="17"/>
  <c r="AC190" i="17"/>
  <c r="AD190" i="17"/>
  <c r="H68" i="19"/>
  <c r="I68" i="19"/>
  <c r="H69" i="19"/>
  <c r="I69" i="19"/>
  <c r="H70" i="19"/>
  <c r="I70" i="19"/>
  <c r="P11" i="9"/>
  <c r="S13" i="15"/>
  <c r="O32" i="17"/>
  <c r="A191" i="17" l="1"/>
  <c r="A189" i="17"/>
  <c r="A190" i="17"/>
  <c r="J19" i="15"/>
  <c r="L19" i="15"/>
  <c r="M62" i="17"/>
  <c r="M107" i="17"/>
  <c r="L107" i="17"/>
  <c r="J89" i="17"/>
  <c r="H89" i="17"/>
  <c r="J62" i="17"/>
  <c r="K14" i="17"/>
  <c r="K202" i="17"/>
  <c r="K156" i="17"/>
  <c r="H156" i="17"/>
  <c r="I19" i="9" l="1"/>
  <c r="H19" i="9"/>
  <c r="D143" i="17"/>
  <c r="D129" i="17" l="1"/>
  <c r="D224" i="17"/>
  <c r="D209" i="17"/>
  <c r="D193" i="17"/>
  <c r="D175" i="17"/>
  <c r="D158" i="17"/>
  <c r="D113" i="17"/>
  <c r="D81" i="17"/>
  <c r="D68" i="17"/>
  <c r="D51" i="17"/>
  <c r="D36" i="17"/>
  <c r="D17" i="17"/>
  <c r="I203" i="17" l="1"/>
  <c r="I13" i="19" l="1"/>
  <c r="I59" i="19"/>
  <c r="H33" i="17"/>
  <c r="E14" i="17"/>
  <c r="G33" i="17"/>
  <c r="F33" i="17"/>
  <c r="G32" i="17"/>
  <c r="F32" i="17"/>
  <c r="E62" i="17"/>
  <c r="E107" i="17"/>
  <c r="F156" i="17"/>
  <c r="H203" i="17"/>
  <c r="F203" i="17"/>
  <c r="H202" i="17"/>
  <c r="E202" i="17"/>
  <c r="G89" i="17"/>
  <c r="Q6" i="9" l="1"/>
  <c r="P6" i="9"/>
  <c r="E19" i="9" l="1"/>
  <c r="D19" i="9"/>
  <c r="G180" i="17"/>
  <c r="F180" i="17"/>
  <c r="E180" i="17"/>
  <c r="G49" i="17"/>
  <c r="F49" i="17"/>
  <c r="E49" i="17"/>
  <c r="E2" i="22"/>
  <c r="F120" i="17"/>
  <c r="F55" i="17" l="1"/>
  <c r="F57" i="17"/>
  <c r="F60" i="17"/>
  <c r="F64" i="17"/>
  <c r="F65" i="17"/>
  <c r="F66" i="17"/>
  <c r="C223" i="17"/>
  <c r="C208" i="17"/>
  <c r="C192" i="17"/>
  <c r="C174" i="17"/>
  <c r="C157" i="17"/>
  <c r="C142" i="17"/>
  <c r="C128" i="17"/>
  <c r="C112" i="17"/>
  <c r="C80" i="17"/>
  <c r="C67" i="17"/>
  <c r="C50" i="17"/>
  <c r="C35" i="17"/>
  <c r="C16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S221" i="17"/>
  <c r="T221" i="17"/>
  <c r="U221" i="17"/>
  <c r="V221" i="17"/>
  <c r="W221" i="17"/>
  <c r="X221" i="17"/>
  <c r="Y221" i="17"/>
  <c r="Z221" i="17"/>
  <c r="AA221" i="17"/>
  <c r="AB221" i="17"/>
  <c r="AC221" i="17"/>
  <c r="AD221" i="17"/>
  <c r="S222" i="17"/>
  <c r="T222" i="17"/>
  <c r="U222" i="17"/>
  <c r="V222" i="17"/>
  <c r="W222" i="17"/>
  <c r="X222" i="17"/>
  <c r="Y222" i="17"/>
  <c r="Z222" i="17"/>
  <c r="AA222" i="17"/>
  <c r="AB222" i="17"/>
  <c r="AC222" i="17"/>
  <c r="AD222" i="17"/>
  <c r="R222" i="17"/>
  <c r="R221" i="17"/>
  <c r="R220" i="17"/>
  <c r="R219" i="17"/>
  <c r="R218" i="17"/>
  <c r="R217" i="17"/>
  <c r="R216" i="17"/>
  <c r="R215" i="17"/>
  <c r="R214" i="17"/>
  <c r="R213" i="17"/>
  <c r="R212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F221" i="17"/>
  <c r="G221" i="17"/>
  <c r="H221" i="17"/>
  <c r="I221" i="17"/>
  <c r="J221" i="17"/>
  <c r="K221" i="17"/>
  <c r="L221" i="17"/>
  <c r="M221" i="17"/>
  <c r="N221" i="17"/>
  <c r="O221" i="17"/>
  <c r="P221" i="17"/>
  <c r="Q221" i="17"/>
  <c r="F222" i="17"/>
  <c r="G222" i="17"/>
  <c r="H222" i="17"/>
  <c r="I222" i="17"/>
  <c r="J222" i="17"/>
  <c r="K222" i="17"/>
  <c r="L222" i="17"/>
  <c r="M222" i="17"/>
  <c r="N222" i="17"/>
  <c r="O222" i="17"/>
  <c r="P222" i="17"/>
  <c r="Q222" i="17"/>
  <c r="E213" i="17"/>
  <c r="E214" i="17"/>
  <c r="E215" i="17"/>
  <c r="E216" i="17"/>
  <c r="E217" i="17"/>
  <c r="E218" i="17"/>
  <c r="E219" i="17"/>
  <c r="E220" i="17"/>
  <c r="E221" i="17"/>
  <c r="E222" i="17"/>
  <c r="E212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S206" i="17"/>
  <c r="T206" i="17"/>
  <c r="U206" i="17"/>
  <c r="V206" i="17"/>
  <c r="W206" i="17"/>
  <c r="X206" i="17"/>
  <c r="Y206" i="17"/>
  <c r="Z206" i="17"/>
  <c r="AA206" i="17"/>
  <c r="AB206" i="17"/>
  <c r="AC206" i="17"/>
  <c r="AD206" i="17"/>
  <c r="S207" i="17"/>
  <c r="T207" i="17"/>
  <c r="U207" i="17"/>
  <c r="V207" i="17"/>
  <c r="W207" i="17"/>
  <c r="X207" i="17"/>
  <c r="Y207" i="17"/>
  <c r="Z207" i="17"/>
  <c r="AA207" i="17"/>
  <c r="AB207" i="17"/>
  <c r="AC207" i="17"/>
  <c r="AD207" i="17"/>
  <c r="R207" i="17"/>
  <c r="R206" i="17"/>
  <c r="R205" i="17"/>
  <c r="R204" i="17"/>
  <c r="R203" i="17"/>
  <c r="R202" i="17"/>
  <c r="R201" i="17"/>
  <c r="R200" i="17"/>
  <c r="R199" i="17"/>
  <c r="R198" i="17"/>
  <c r="R197" i="17"/>
  <c r="R196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G200" i="17"/>
  <c r="H200" i="17"/>
  <c r="I200" i="17"/>
  <c r="J200" i="17"/>
  <c r="K200" i="17"/>
  <c r="L200" i="17"/>
  <c r="M200" i="17"/>
  <c r="N200" i="17"/>
  <c r="O200" i="17"/>
  <c r="P200" i="17"/>
  <c r="Q200" i="17"/>
  <c r="F201" i="17"/>
  <c r="G201" i="17"/>
  <c r="H201" i="17"/>
  <c r="I201" i="17"/>
  <c r="J201" i="17"/>
  <c r="K201" i="17"/>
  <c r="L201" i="17"/>
  <c r="M201" i="17"/>
  <c r="N201" i="17"/>
  <c r="O201" i="17"/>
  <c r="P201" i="17"/>
  <c r="Q201" i="17"/>
  <c r="F202" i="17"/>
  <c r="G202" i="17"/>
  <c r="I202" i="17"/>
  <c r="J202" i="17"/>
  <c r="L202" i="17"/>
  <c r="M202" i="17"/>
  <c r="N202" i="17"/>
  <c r="O202" i="17"/>
  <c r="P202" i="17"/>
  <c r="Q202" i="17"/>
  <c r="G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F206" i="17"/>
  <c r="G206" i="17"/>
  <c r="H206" i="17"/>
  <c r="I206" i="17"/>
  <c r="J206" i="17"/>
  <c r="K206" i="17"/>
  <c r="L206" i="17"/>
  <c r="M206" i="17"/>
  <c r="N206" i="17"/>
  <c r="O206" i="17"/>
  <c r="P206" i="17"/>
  <c r="Q206" i="17"/>
  <c r="F207" i="17"/>
  <c r="G207" i="17"/>
  <c r="H207" i="17"/>
  <c r="I207" i="17"/>
  <c r="J207" i="17"/>
  <c r="K207" i="17"/>
  <c r="L207" i="17"/>
  <c r="M207" i="17"/>
  <c r="N207" i="17"/>
  <c r="O207" i="17"/>
  <c r="P207" i="17"/>
  <c r="Q207" i="17"/>
  <c r="E197" i="17"/>
  <c r="E198" i="17"/>
  <c r="E199" i="17"/>
  <c r="E200" i="17"/>
  <c r="E201" i="17"/>
  <c r="E203" i="17"/>
  <c r="E204" i="17"/>
  <c r="E205" i="17"/>
  <c r="E206" i="17"/>
  <c r="E207" i="17"/>
  <c r="E196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R188" i="17"/>
  <c r="R187" i="17"/>
  <c r="R186" i="17"/>
  <c r="R185" i="17"/>
  <c r="R184" i="17"/>
  <c r="R183" i="17"/>
  <c r="R182" i="17"/>
  <c r="R181" i="17"/>
  <c r="R180" i="17"/>
  <c r="R179" i="17"/>
  <c r="R178" i="17"/>
  <c r="F178" i="17"/>
  <c r="G178" i="17"/>
  <c r="G192" i="17" s="1"/>
  <c r="H178" i="17"/>
  <c r="I178" i="17"/>
  <c r="J178" i="17"/>
  <c r="K178" i="17"/>
  <c r="L178" i="17"/>
  <c r="M178" i="17"/>
  <c r="N178" i="17"/>
  <c r="O178" i="17"/>
  <c r="O192" i="17" s="1"/>
  <c r="P178" i="17"/>
  <c r="Q178" i="17"/>
  <c r="Q192" i="17" s="1"/>
  <c r="F179" i="17"/>
  <c r="G179" i="17"/>
  <c r="H179" i="17"/>
  <c r="I179" i="17"/>
  <c r="J179" i="17"/>
  <c r="K179" i="17"/>
  <c r="L179" i="17"/>
  <c r="M179" i="17"/>
  <c r="N179" i="17"/>
  <c r="O179" i="17"/>
  <c r="P179" i="17"/>
  <c r="Q179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E179" i="17"/>
  <c r="E181" i="17"/>
  <c r="E182" i="17"/>
  <c r="E183" i="17"/>
  <c r="E184" i="17"/>
  <c r="E185" i="17"/>
  <c r="E186" i="17"/>
  <c r="E187" i="17"/>
  <c r="E188" i="17"/>
  <c r="E178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R174" i="17" l="1"/>
  <c r="F192" i="17"/>
  <c r="AD192" i="17"/>
  <c r="P192" i="17"/>
  <c r="AB192" i="17"/>
  <c r="N192" i="17"/>
  <c r="Z192" i="17"/>
  <c r="E193" i="17"/>
  <c r="E192" i="17"/>
  <c r="M192" i="17"/>
  <c r="Y192" i="17"/>
  <c r="S192" i="17"/>
  <c r="L192" i="17"/>
  <c r="X192" i="17"/>
  <c r="AC192" i="17"/>
  <c r="AA192" i="17"/>
  <c r="K192" i="17"/>
  <c r="W192" i="17"/>
  <c r="J192" i="17"/>
  <c r="V192" i="17"/>
  <c r="R192" i="17"/>
  <c r="I192" i="17"/>
  <c r="U192" i="17"/>
  <c r="H192" i="17"/>
  <c r="T192" i="17"/>
  <c r="E143" i="17"/>
  <c r="J208" i="17"/>
  <c r="F208" i="17"/>
  <c r="I157" i="17"/>
  <c r="I142" i="17"/>
  <c r="G208" i="17"/>
  <c r="K208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K62" i="17"/>
  <c r="L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Y67" i="17" l="1"/>
  <c r="Z67" i="17"/>
  <c r="R67" i="17"/>
  <c r="X67" i="17"/>
  <c r="E67" i="17"/>
  <c r="W67" i="17"/>
  <c r="L94" i="17"/>
  <c r="N94" i="17"/>
  <c r="V67" i="17"/>
  <c r="AA67" i="17"/>
  <c r="U67" i="17"/>
  <c r="T67" i="17"/>
  <c r="S67" i="17"/>
  <c r="AD67" i="17"/>
  <c r="F67" i="17"/>
  <c r="AC67" i="17"/>
  <c r="E36" i="17"/>
  <c r="AB67" i="17"/>
  <c r="Q67" i="17"/>
  <c r="P67" i="17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3" i="17"/>
  <c r="B212" i="17"/>
  <c r="B207" i="17" l="1"/>
  <c r="P16" i="17"/>
  <c r="E50" i="17" l="1"/>
  <c r="E80" i="17"/>
  <c r="A207" i="17"/>
  <c r="P80" i="17"/>
  <c r="P50" i="17"/>
  <c r="P35" i="17"/>
  <c r="K142" i="17"/>
  <c r="E157" i="17"/>
  <c r="N142" i="17"/>
  <c r="P142" i="17"/>
  <c r="L142" i="17"/>
  <c r="F142" i="17"/>
  <c r="F143" i="17" s="1"/>
  <c r="O142" i="17"/>
  <c r="E142" i="17"/>
  <c r="Q142" i="17"/>
  <c r="G142" i="17"/>
  <c r="H142" i="17"/>
  <c r="J142" i="17"/>
  <c r="M142" i="17"/>
  <c r="A15" i="17"/>
  <c r="G143" i="17" l="1"/>
  <c r="H143" i="17" s="1"/>
  <c r="I143" i="17" s="1"/>
  <c r="J143" i="17" s="1"/>
  <c r="K143" i="17" s="1"/>
  <c r="L143" i="17" s="1"/>
  <c r="M143" i="17" s="1"/>
  <c r="N143" i="17" s="1"/>
  <c r="O143" i="17" s="1"/>
  <c r="P143" i="17" s="1"/>
  <c r="Q143" i="17" s="1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K36" i="17" l="1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I9" i="16"/>
  <c r="AH9" i="16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J5" i="6" s="1"/>
  <c r="AI5" i="6"/>
  <c r="AH6" i="6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I12" i="3"/>
  <c r="AH13" i="3"/>
  <c r="AI13" i="3"/>
  <c r="AH14" i="3"/>
  <c r="AI14" i="3"/>
  <c r="AH15" i="3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H15" i="23"/>
  <c r="AI15" i="23"/>
  <c r="AH16" i="23"/>
  <c r="AI16" i="23"/>
  <c r="AH17" i="23"/>
  <c r="AI17" i="23"/>
  <c r="AH18" i="23"/>
  <c r="AJ18" i="23" s="1"/>
  <c r="AI18" i="23"/>
  <c r="AH5" i="9"/>
  <c r="AI5" i="9"/>
  <c r="AH6" i="9"/>
  <c r="AI6" i="9"/>
  <c r="AH7" i="9"/>
  <c r="AI7" i="9"/>
  <c r="AH8" i="9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J14" i="9" s="1"/>
  <c r="AI14" i="9"/>
  <c r="AH15" i="9"/>
  <c r="AJ15" i="9" s="1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P14" i="7"/>
  <c r="Q14" i="7"/>
  <c r="P18" i="7"/>
  <c r="Q18" i="7"/>
  <c r="P5" i="8"/>
  <c r="AL5" i="8" s="1"/>
  <c r="C117" i="17" s="1"/>
  <c r="Q5" i="8"/>
  <c r="AM5" i="8" s="1"/>
  <c r="P6" i="8"/>
  <c r="Q6" i="8"/>
  <c r="AM6" i="8" s="1"/>
  <c r="P7" i="8"/>
  <c r="Q7" i="8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Q13" i="8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6" i="6"/>
  <c r="AL13" i="6"/>
  <c r="AM15" i="6"/>
  <c r="AM16" i="6"/>
  <c r="P5" i="15"/>
  <c r="AL5" i="15" s="1"/>
  <c r="C85" i="17" s="1"/>
  <c r="Q5" i="15"/>
  <c r="P6" i="15"/>
  <c r="Q6" i="15"/>
  <c r="P7" i="15"/>
  <c r="Q7" i="15"/>
  <c r="P8" i="15"/>
  <c r="Q8" i="15"/>
  <c r="P9" i="15"/>
  <c r="Q9" i="15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AL5" i="3" s="1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P9" i="1"/>
  <c r="Q9" i="1"/>
  <c r="P10" i="1"/>
  <c r="Q10" i="1"/>
  <c r="AM10" i="1" s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Q6" i="23"/>
  <c r="Q7" i="23"/>
  <c r="AM7" i="23" s="1"/>
  <c r="Q8" i="23"/>
  <c r="Q9" i="23"/>
  <c r="Q10" i="23"/>
  <c r="Q11" i="23"/>
  <c r="Q12" i="23"/>
  <c r="Q13" i="23"/>
  <c r="Q14" i="23"/>
  <c r="Q15" i="23"/>
  <c r="Q16" i="23"/>
  <c r="Q17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AL10" i="12" l="1"/>
  <c r="AJ6" i="12"/>
  <c r="AM17" i="23"/>
  <c r="AJ17" i="23"/>
  <c r="AJ5" i="23"/>
  <c r="AM5" i="23"/>
  <c r="AJ10" i="8"/>
  <c r="AM7" i="8"/>
  <c r="AM13" i="8"/>
  <c r="AO13" i="8" s="1"/>
  <c r="AL13" i="8"/>
  <c r="C125" i="17" s="1"/>
  <c r="AM9" i="15"/>
  <c r="AL9" i="15"/>
  <c r="C89" i="17" s="1"/>
  <c r="AM7" i="15"/>
  <c r="AJ8" i="9"/>
  <c r="AJ6" i="6"/>
  <c r="AM8" i="1"/>
  <c r="AJ12" i="4"/>
  <c r="AJ9" i="16"/>
  <c r="AJ10" i="16"/>
  <c r="AM6" i="16"/>
  <c r="AJ15" i="7"/>
  <c r="AM13" i="7"/>
  <c r="AM12" i="13"/>
  <c r="AO12" i="13" s="1"/>
  <c r="AM6" i="13"/>
  <c r="AM10" i="5"/>
  <c r="AN10" i="5" s="1"/>
  <c r="AJ15" i="3"/>
  <c r="AM14" i="3"/>
  <c r="AJ14" i="3"/>
  <c r="AJ12" i="3"/>
  <c r="AM8" i="23"/>
  <c r="AO8" i="23" s="1"/>
  <c r="R10" i="23"/>
  <c r="AL8" i="23"/>
  <c r="AM13" i="23"/>
  <c r="AM11" i="23"/>
  <c r="AJ14" i="23"/>
  <c r="AL18" i="23"/>
  <c r="AL17" i="23"/>
  <c r="C191" i="17" s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7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AO13" i="13" s="1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AN10" i="3" s="1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R17" i="13"/>
  <c r="R8" i="13"/>
  <c r="R6" i="13"/>
  <c r="AL10" i="13"/>
  <c r="R18" i="13"/>
  <c r="AM14" i="13"/>
  <c r="R9" i="13"/>
  <c r="AM9" i="13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C190" i="17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L11" i="23"/>
  <c r="AN16" i="1"/>
  <c r="AO16" i="1"/>
  <c r="AL13" i="1"/>
  <c r="AN18" i="13"/>
  <c r="AO18" i="13"/>
  <c r="AL15" i="13"/>
  <c r="AN12" i="13"/>
  <c r="AN6" i="13"/>
  <c r="AO6" i="13"/>
  <c r="AL17" i="12"/>
  <c r="AL5" i="12"/>
  <c r="AO10" i="3"/>
  <c r="AL7" i="3"/>
  <c r="AN15" i="15"/>
  <c r="AO15" i="15"/>
  <c r="AN9" i="15"/>
  <c r="AO9" i="15"/>
  <c r="AL5" i="6"/>
  <c r="AN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10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C189" i="17" s="1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N6" i="5"/>
  <c r="AO6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O10" i="12" l="1"/>
  <c r="AN8" i="23"/>
  <c r="AO11" i="16"/>
  <c r="AO17" i="23"/>
  <c r="AN17" i="23"/>
  <c r="AN9" i="23"/>
  <c r="AN16" i="23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2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T143" i="17" s="1"/>
  <c r="AA142" i="17"/>
  <c r="AA143" i="17" s="1"/>
  <c r="AC142" i="17"/>
  <c r="AC143" i="17" s="1"/>
  <c r="AD142" i="17"/>
  <c r="AD143" i="17" s="1"/>
  <c r="U142" i="17"/>
  <c r="U143" i="17" s="1"/>
  <c r="W142" i="17"/>
  <c r="W143" i="17" s="1"/>
  <c r="Y142" i="17"/>
  <c r="Y143" i="17" s="1"/>
  <c r="Z142" i="17"/>
  <c r="Z143" i="17" s="1"/>
  <c r="R142" i="17"/>
  <c r="R143" i="17" s="1"/>
  <c r="L20" i="18" s="1"/>
  <c r="S142" i="17"/>
  <c r="S143" i="17" s="1"/>
  <c r="V142" i="17"/>
  <c r="V143" i="17" s="1"/>
  <c r="X142" i="17"/>
  <c r="X143" i="17" s="1"/>
  <c r="AB142" i="17"/>
  <c r="AB143" i="17" s="1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L9" i="18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O10" i="13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H15" i="18" l="1"/>
  <c r="F15" i="18"/>
  <c r="J15" i="18" s="1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8" i="18"/>
  <c r="I15" i="18" l="1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21" i="17"/>
  <c r="B220" i="17"/>
  <c r="B219" i="17"/>
  <c r="B218" i="17"/>
  <c r="B217" i="17"/>
  <c r="B216" i="17"/>
  <c r="B215" i="17"/>
  <c r="B214" i="17"/>
  <c r="B206" i="17"/>
  <c r="B205" i="17"/>
  <c r="B204" i="17"/>
  <c r="B203" i="17"/>
  <c r="B202" i="17"/>
  <c r="B201" i="17"/>
  <c r="B200" i="17"/>
  <c r="B199" i="17"/>
  <c r="B198" i="17"/>
  <c r="B197" i="17"/>
  <c r="B196" i="17"/>
  <c r="B188" i="17"/>
  <c r="B187" i="17"/>
  <c r="B186" i="17"/>
  <c r="B185" i="17"/>
  <c r="B184" i="17"/>
  <c r="B183" i="17"/>
  <c r="B182" i="17"/>
  <c r="B181" i="17"/>
  <c r="B180" i="17"/>
  <c r="B179" i="17"/>
  <c r="B178" i="17"/>
  <c r="W208" i="17" l="1"/>
  <c r="AA208" i="17"/>
  <c r="S208" i="17"/>
  <c r="O208" i="17"/>
  <c r="M208" i="17"/>
  <c r="Q208" i="17"/>
  <c r="U208" i="17"/>
  <c r="Y208" i="17"/>
  <c r="AC208" i="17"/>
  <c r="L223" i="17"/>
  <c r="P223" i="17"/>
  <c r="T223" i="17"/>
  <c r="X223" i="17"/>
  <c r="AB223" i="17"/>
  <c r="N208" i="17"/>
  <c r="R208" i="17"/>
  <c r="V208" i="17"/>
  <c r="Z208" i="17"/>
  <c r="AD208" i="17"/>
  <c r="M223" i="17"/>
  <c r="Q223" i="17"/>
  <c r="U223" i="17"/>
  <c r="Y223" i="17"/>
  <c r="AC223" i="17"/>
  <c r="I208" i="17"/>
  <c r="I223" i="17"/>
  <c r="H223" i="17"/>
  <c r="E209" i="17"/>
  <c r="E223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A185" i="17"/>
  <c r="A201" i="17"/>
  <c r="A205" i="17"/>
  <c r="A216" i="17"/>
  <c r="A218" i="17"/>
  <c r="A181" i="17"/>
  <c r="L208" i="17"/>
  <c r="T208" i="17"/>
  <c r="A182" i="17"/>
  <c r="A184" i="17"/>
  <c r="A186" i="17"/>
  <c r="A188" i="17"/>
  <c r="A198" i="17"/>
  <c r="A200" i="17"/>
  <c r="A202" i="17"/>
  <c r="A204" i="17"/>
  <c r="A206" i="17"/>
  <c r="A213" i="17"/>
  <c r="A215" i="17"/>
  <c r="A217" i="17"/>
  <c r="A220" i="17"/>
  <c r="P208" i="17"/>
  <c r="AB208" i="17"/>
  <c r="A180" i="17"/>
  <c r="A179" i="17"/>
  <c r="A183" i="17"/>
  <c r="A187" i="17"/>
  <c r="A199" i="17"/>
  <c r="A203" i="17"/>
  <c r="A214" i="17"/>
  <c r="J223" i="17"/>
  <c r="N223" i="17"/>
  <c r="R223" i="17"/>
  <c r="V223" i="17"/>
  <c r="Z223" i="17"/>
  <c r="AD223" i="17"/>
  <c r="A219" i="17"/>
  <c r="A221" i="17"/>
  <c r="H208" i="17"/>
  <c r="X208" i="17"/>
  <c r="G223" i="17"/>
  <c r="K223" i="17"/>
  <c r="O223" i="17"/>
  <c r="S223" i="17"/>
  <c r="W223" i="17"/>
  <c r="AA223" i="17"/>
  <c r="A222" i="17"/>
  <c r="F223" i="17"/>
  <c r="A196" i="17"/>
  <c r="E208" i="17"/>
  <c r="A197" i="17"/>
  <c r="A212" i="17"/>
  <c r="A178" i="17"/>
  <c r="E224" i="17" l="1"/>
  <c r="F224" i="17" s="1"/>
  <c r="G224" i="17" s="1"/>
  <c r="H224" i="17" s="1"/>
  <c r="I224" i="17" s="1"/>
  <c r="J224" i="17" s="1"/>
  <c r="K224" i="17" s="1"/>
  <c r="F193" i="17"/>
  <c r="G193" i="17" s="1"/>
  <c r="H193" i="17" s="1"/>
  <c r="I193" i="17" s="1"/>
  <c r="J193" i="17" s="1"/>
  <c r="F209" i="17"/>
  <c r="G209" i="17" s="1"/>
  <c r="H209" i="17" s="1"/>
  <c r="I209" i="17" s="1"/>
  <c r="J209" i="17" s="1"/>
  <c r="L224" i="17" l="1"/>
  <c r="M224" i="17" s="1"/>
  <c r="N224" i="17" s="1"/>
  <c r="O224" i="17" s="1"/>
  <c r="P224" i="17" s="1"/>
  <c r="Q224" i="17" s="1"/>
  <c r="R224" i="17" s="1"/>
  <c r="S224" i="17" s="1"/>
  <c r="T224" i="17" s="1"/>
  <c r="U224" i="17" s="1"/>
  <c r="V224" i="17" s="1"/>
  <c r="W224" i="17" s="1"/>
  <c r="X224" i="17" s="1"/>
  <c r="Y224" i="17" s="1"/>
  <c r="Z224" i="17" s="1"/>
  <c r="AA224" i="17" s="1"/>
  <c r="AB224" i="17" s="1"/>
  <c r="AC224" i="17" s="1"/>
  <c r="AD224" i="17" s="1"/>
  <c r="L15" i="18"/>
  <c r="K193" i="17"/>
  <c r="L193" i="17" s="1"/>
  <c r="M193" i="17" s="1"/>
  <c r="N193" i="17" s="1"/>
  <c r="O193" i="17" s="1"/>
  <c r="P193" i="17" s="1"/>
  <c r="Q193" i="17" s="1"/>
  <c r="R193" i="17" s="1"/>
  <c r="S193" i="17" s="1"/>
  <c r="T193" i="17" s="1"/>
  <c r="U193" i="17" s="1"/>
  <c r="V193" i="17" s="1"/>
  <c r="W193" i="17" s="1"/>
  <c r="X193" i="17" s="1"/>
  <c r="Y193" i="17" s="1"/>
  <c r="Z193" i="17" s="1"/>
  <c r="AA193" i="17" s="1"/>
  <c r="AB193" i="17" s="1"/>
  <c r="AC193" i="17" s="1"/>
  <c r="AD193" i="17" s="1"/>
  <c r="L16" i="18"/>
  <c r="K209" i="17"/>
  <c r="L209" i="17" s="1"/>
  <c r="M209" i="17" s="1"/>
  <c r="N209" i="17" s="1"/>
  <c r="O209" i="17" s="1"/>
  <c r="P209" i="17" s="1"/>
  <c r="Q209" i="17" s="1"/>
  <c r="R209" i="17" s="1"/>
  <c r="S209" i="17" s="1"/>
  <c r="T209" i="17" s="1"/>
  <c r="U209" i="17" s="1"/>
  <c r="V209" i="17" s="1"/>
  <c r="W209" i="17" s="1"/>
  <c r="X209" i="17" s="1"/>
  <c r="Y209" i="17" s="1"/>
  <c r="Z209" i="17" s="1"/>
  <c r="AA209" i="17" s="1"/>
  <c r="AB209" i="17" s="1"/>
  <c r="AC209" i="17" s="1"/>
  <c r="AD209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A10" i="18"/>
  <c r="B116" i="17"/>
  <c r="A116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2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2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1" i="17"/>
  <c r="C187" i="17"/>
  <c r="C179" i="17"/>
  <c r="C180" i="17"/>
  <c r="C183" i="17"/>
  <c r="AM4" i="23"/>
  <c r="AJ4" i="23"/>
  <c r="C184" i="17"/>
  <c r="C182" i="17"/>
  <c r="C185" i="17"/>
  <c r="AI19" i="23"/>
  <c r="C186" i="17"/>
  <c r="AL4" i="23"/>
  <c r="C178" i="17" s="1"/>
  <c r="AM19" i="23" l="1"/>
  <c r="C188" i="17"/>
  <c r="AL19" i="23"/>
  <c r="E16" i="18" s="1"/>
  <c r="AJ19" i="23"/>
  <c r="AO4" i="23"/>
  <c r="AN4" i="23"/>
  <c r="R19" i="23"/>
  <c r="F16" i="18" l="1"/>
  <c r="H16" i="18"/>
  <c r="AN19" i="23"/>
  <c r="J19" i="6"/>
  <c r="I19" i="6"/>
  <c r="N19" i="15"/>
  <c r="M19" i="15"/>
  <c r="K19" i="15"/>
  <c r="I19" i="15"/>
  <c r="H19" i="15"/>
  <c r="G19" i="15"/>
  <c r="F19" i="15"/>
  <c r="E19" i="15"/>
  <c r="I16" i="18" l="1"/>
  <c r="J16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E22" i="19"/>
  <c r="E21" i="19"/>
  <c r="L14" i="18" l="1"/>
  <c r="H40" i="19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60" i="17"/>
  <c r="A59" i="17"/>
  <c r="A56" i="17"/>
  <c r="A55" i="17"/>
  <c r="A54" i="17"/>
  <c r="A48" i="17"/>
  <c r="A44" i="17"/>
  <c r="A43" i="17"/>
  <c r="A39" i="17"/>
  <c r="E81" i="17"/>
  <c r="G51" i="17" l="1"/>
  <c r="H51" i="17" s="1"/>
  <c r="I51" i="17" s="1"/>
  <c r="J51" i="17" s="1"/>
  <c r="A19" i="18"/>
  <c r="A13" i="18"/>
  <c r="A15" i="18"/>
  <c r="A11" i="18"/>
  <c r="A21" i="18"/>
  <c r="F175" i="17"/>
  <c r="G175" i="17" s="1"/>
  <c r="H175" i="17" s="1"/>
  <c r="F81" i="17"/>
  <c r="K51" i="17" l="1"/>
  <c r="L51" i="17" s="1"/>
  <c r="M51" i="17" s="1"/>
  <c r="N51" i="17" s="1"/>
  <c r="O51" i="17" s="1"/>
  <c r="P51" i="17" s="1"/>
  <c r="Q51" i="17" s="1"/>
  <c r="L21" i="18" s="1"/>
  <c r="G81" i="17"/>
  <c r="I175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9" i="18"/>
  <c r="B4" i="18" s="1"/>
  <c r="Q19" i="13"/>
  <c r="C162" i="17"/>
  <c r="C172" i="17"/>
  <c r="AI19" i="13"/>
  <c r="C202" i="17"/>
  <c r="C198" i="17"/>
  <c r="C203" i="17"/>
  <c r="AI19" i="10"/>
  <c r="AJ19" i="7"/>
  <c r="AH19" i="16"/>
  <c r="AI19" i="16"/>
  <c r="P19" i="16"/>
  <c r="Q19" i="16"/>
  <c r="P19" i="7"/>
  <c r="Q19" i="7"/>
  <c r="C170" i="17"/>
  <c r="C199" i="17"/>
  <c r="C168" i="17"/>
  <c r="C217" i="17"/>
  <c r="C219" i="17"/>
  <c r="C133" i="17"/>
  <c r="C134" i="17"/>
  <c r="C135" i="17"/>
  <c r="C137" i="17"/>
  <c r="C138" i="17"/>
  <c r="C139" i="17"/>
  <c r="C141" i="17"/>
  <c r="AL4" i="15"/>
  <c r="C84" i="17" s="1"/>
  <c r="AI19" i="5"/>
  <c r="C214" i="17"/>
  <c r="C215" i="17"/>
  <c r="C213" i="17"/>
  <c r="C221" i="17"/>
  <c r="C200" i="17"/>
  <c r="AM4" i="9"/>
  <c r="P19" i="5"/>
  <c r="Q19" i="5"/>
  <c r="P19" i="10"/>
  <c r="AL4" i="7"/>
  <c r="Q19" i="10"/>
  <c r="AI19" i="9"/>
  <c r="C166" i="17"/>
  <c r="C164" i="17"/>
  <c r="C206" i="17"/>
  <c r="C216" i="17"/>
  <c r="AJ4" i="12"/>
  <c r="AJ4" i="7"/>
  <c r="AJ4" i="13"/>
  <c r="AI19" i="12"/>
  <c r="AJ4" i="15"/>
  <c r="C220" i="17"/>
  <c r="AJ4" i="8"/>
  <c r="AJ4" i="6"/>
  <c r="AJ4" i="5"/>
  <c r="C204" i="17"/>
  <c r="AI19" i="15"/>
  <c r="AI19" i="8"/>
  <c r="AI19" i="6"/>
  <c r="C222" i="17"/>
  <c r="R4" i="10"/>
  <c r="R4" i="8"/>
  <c r="R4" i="5"/>
  <c r="C167" i="17"/>
  <c r="Q19" i="8"/>
  <c r="C218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4" i="13"/>
  <c r="S4" i="10"/>
  <c r="AL4" i="10"/>
  <c r="C20" i="17" s="1"/>
  <c r="C36" i="17" s="1"/>
  <c r="C205" i="17"/>
  <c r="C201" i="17"/>
  <c r="P19" i="9"/>
  <c r="C197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6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9" i="17" l="1"/>
  <c r="C224" i="17"/>
  <c r="D15" i="18" s="1"/>
  <c r="AI19" i="3"/>
  <c r="K81" i="17"/>
  <c r="P19" i="3"/>
  <c r="Q19" i="3"/>
  <c r="R19" i="13"/>
  <c r="AM19" i="13"/>
  <c r="C140" i="17"/>
  <c r="AL19" i="13"/>
  <c r="E20" i="18" s="1"/>
  <c r="AM4" i="4"/>
  <c r="AJ19" i="10"/>
  <c r="AL4" i="3"/>
  <c r="AL19" i="16"/>
  <c r="AM19" i="16"/>
  <c r="R19" i="16"/>
  <c r="AM19" i="7"/>
  <c r="AL19" i="7"/>
  <c r="E11" i="18" s="1"/>
  <c r="C54" i="17"/>
  <c r="C68" i="17" s="1"/>
  <c r="AO4" i="7"/>
  <c r="AO4" i="10"/>
  <c r="AL19" i="10"/>
  <c r="E19" i="18" s="1"/>
  <c r="AM19" i="10"/>
  <c r="AJ19" i="6"/>
  <c r="AM19" i="12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2"/>
  <c r="AL19" i="15"/>
  <c r="E14" i="18" s="1"/>
  <c r="C95" i="17"/>
  <c r="D14" i="18" s="1"/>
  <c r="R19" i="15"/>
  <c r="AO4" i="15"/>
  <c r="AM19" i="8"/>
  <c r="AL19" i="8"/>
  <c r="E9" i="18" s="1"/>
  <c r="C71" i="17"/>
  <c r="AL19" i="6"/>
  <c r="E13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H8" i="18" l="1"/>
  <c r="F8" i="18"/>
  <c r="F10" i="18"/>
  <c r="I10" i="18" s="1"/>
  <c r="H10" i="18"/>
  <c r="F13" i="18"/>
  <c r="H13" i="18"/>
  <c r="F9" i="18"/>
  <c r="H9" i="18"/>
  <c r="E10" i="18"/>
  <c r="E15" i="18"/>
  <c r="H19" i="18"/>
  <c r="F19" i="18"/>
  <c r="H20" i="18"/>
  <c r="F20" i="18"/>
  <c r="F21" i="18"/>
  <c r="H21" i="18"/>
  <c r="F14" i="18"/>
  <c r="H14" i="18"/>
  <c r="F11" i="18"/>
  <c r="H11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2" i="18" s="1"/>
  <c r="C143" i="17"/>
  <c r="D11" i="18"/>
  <c r="AN19" i="7"/>
  <c r="AN19" i="13"/>
  <c r="AN19" i="12"/>
  <c r="D9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3" i="18" s="1"/>
  <c r="AI19" i="1"/>
  <c r="C4" i="17"/>
  <c r="AL19" i="4"/>
  <c r="E18" i="18" s="1"/>
  <c r="D19" i="18"/>
  <c r="AN19" i="8"/>
  <c r="D16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18" i="18"/>
  <c r="J10" i="18"/>
  <c r="J13" i="18"/>
  <c r="I13" i="18"/>
  <c r="I9" i="18"/>
  <c r="J9" i="18"/>
  <c r="H12" i="18"/>
  <c r="F12" i="18"/>
  <c r="I19" i="18"/>
  <c r="J19" i="18"/>
  <c r="J20" i="18"/>
  <c r="I20" i="18"/>
  <c r="I11" i="18"/>
  <c r="J11" i="18"/>
  <c r="J14" i="18"/>
  <c r="I14" i="18"/>
  <c r="I21" i="18"/>
  <c r="J21" i="18"/>
  <c r="D21" i="18"/>
  <c r="H18" i="18"/>
  <c r="F18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20" i="18"/>
  <c r="A17" i="18"/>
  <c r="M81" i="17"/>
  <c r="C113" i="17"/>
  <c r="M17" i="18" s="1"/>
  <c r="AN19" i="3"/>
  <c r="AN19" i="4"/>
  <c r="AJ19" i="1"/>
  <c r="AM19" i="1"/>
  <c r="P19" i="1"/>
  <c r="AL4" i="1"/>
  <c r="C146" i="17" s="1"/>
  <c r="C158" i="17" s="1"/>
  <c r="D17" i="18" s="1"/>
  <c r="Q19" i="1"/>
  <c r="M20" i="18" l="1"/>
  <c r="M14" i="18"/>
  <c r="M11" i="18"/>
  <c r="I12" i="18"/>
  <c r="J12" i="18"/>
  <c r="E88" i="22"/>
  <c r="M19" i="18"/>
  <c r="M21" i="18"/>
  <c r="M9" i="18"/>
  <c r="M12" i="18"/>
  <c r="M13" i="18"/>
  <c r="J18" i="18"/>
  <c r="I18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2" i="18"/>
  <c r="F158" i="17"/>
  <c r="G158" i="17" s="1"/>
  <c r="H158" i="17" s="1"/>
  <c r="I158" i="17" s="1"/>
  <c r="J158" i="17" s="1"/>
  <c r="D18" i="18"/>
  <c r="N81" i="17"/>
  <c r="R19" i="1"/>
  <c r="AL19" i="1"/>
  <c r="AO4" i="1"/>
  <c r="AN4" i="1"/>
  <c r="A20" i="18"/>
  <c r="J175" i="17"/>
  <c r="K175" i="17" s="1"/>
  <c r="L175" i="17" s="1"/>
  <c r="M175" i="17" s="1"/>
  <c r="N175" i="17" s="1"/>
  <c r="O175" i="17" s="1"/>
  <c r="P175" i="17" s="1"/>
  <c r="C171" i="17"/>
  <c r="D8" i="18"/>
  <c r="A163" i="17"/>
  <c r="C163" i="17"/>
  <c r="Q175" i="17" l="1"/>
  <c r="R175" i="17" s="1"/>
  <c r="M10" i="18"/>
  <c r="F17" i="18"/>
  <c r="H17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7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O81" i="17"/>
  <c r="P81" i="17" s="1"/>
  <c r="Q81" i="17" s="1"/>
  <c r="S175" i="17"/>
  <c r="T175" i="17" s="1"/>
  <c r="U175" i="17" s="1"/>
  <c r="V175" i="17" s="1"/>
  <c r="A16" i="18"/>
  <c r="A14" i="18"/>
  <c r="L10" i="18" l="1"/>
  <c r="M15" i="18"/>
  <c r="E106" i="22"/>
  <c r="D141" i="22"/>
  <c r="D106" i="22"/>
  <c r="E104" i="22"/>
  <c r="I17" i="18"/>
  <c r="J17" i="18"/>
  <c r="L17" i="18"/>
  <c r="M16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10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5" i="17"/>
  <c r="X175" i="17" s="1"/>
  <c r="Y175" i="17" l="1"/>
  <c r="Z175" i="17" s="1"/>
  <c r="AA175" i="17" s="1"/>
  <c r="AB175" i="17" s="1"/>
  <c r="AC175" i="17" s="1"/>
  <c r="AD175" i="17" s="1"/>
  <c r="R68" i="17"/>
  <c r="R36" i="17"/>
  <c r="R81" i="17"/>
  <c r="R51" i="17"/>
  <c r="S51" i="17" s="1"/>
  <c r="T51" i="17" s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R17" i="17"/>
  <c r="S36" i="17" l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L19" i="18"/>
  <c r="S81" i="17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L13" i="18"/>
  <c r="S17" i="17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  <c r="L18" i="18"/>
  <c r="S68" i="17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L11" i="18"/>
</calcChain>
</file>

<file path=xl/sharedStrings.xml><?xml version="1.0" encoding="utf-8"?>
<sst xmlns="http://schemas.openxmlformats.org/spreadsheetml/2006/main" count="1114" uniqueCount="375">
  <si>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</si>
  <si>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</si>
  <si>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</si>
  <si>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</si>
  <si>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</si>
  <si>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</si>
  <si>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</si>
  <si>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</si>
  <si>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</si>
  <si>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</si>
  <si>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</si>
  <si>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</si>
  <si>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</si>
  <si>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</si>
  <si>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</si>
  <si>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</si>
  <si>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</si>
  <si>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</si>
  <si>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</si>
  <si>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</si>
  <si>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</si>
  <si>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</si>
  <si>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</si>
  <si>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</si>
  <si>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</si>
  <si>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</si>
  <si>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</si>
  <si>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</si>
  <si>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</si>
  <si>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</si>
  <si>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</si>
  <si>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</si>
  <si>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</si>
  <si>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</si>
  <si>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</si>
  <si>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</si>
  <si>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</si>
  <si>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</si>
  <si>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</si>
  <si>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</si>
  <si>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</si>
  <si>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</si>
  <si>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</si>
  <si>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</si>
  <si>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</si>
  <si>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</si>
  <si>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</si>
  <si>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</si>
  <si>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</si>
  <si>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</si>
  <si>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</si>
  <si>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</si>
  <si>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</si>
  <si>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</si>
  <si>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</si>
  <si>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</si>
  <si>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</si>
  <si>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</si>
  <si>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</si>
  <si>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</si>
  <si>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</si>
  <si>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</si>
  <si>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</si>
  <si>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</si>
  <si>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</si>
  <si>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</si>
  <si>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</si>
  <si>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</si>
  <si>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</si>
  <si>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</si>
  <si>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</si>
  <si>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</si>
  <si>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</si>
  <si>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</si>
  <si>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</si>
  <si>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</si>
  <si>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</si>
  <si>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</si>
  <si>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</si>
  <si>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</si>
  <si>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</si>
  <si>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</si>
  <si>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</si>
  <si>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</si>
  <si>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</si>
  <si>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</si>
  <si>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</si>
  <si>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</si>
  <si>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</si>
  <si>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</si>
  <si>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</si>
  <si>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</si>
  <si>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</si>
  <si>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</si>
  <si>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</si>
  <si>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</si>
  <si>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</si>
  <si>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</si>
  <si>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</si>
  <si>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</si>
  <si>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</si>
  <si>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</si>
  <si>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</si>
  <si>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</si>
  <si>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</si>
  <si>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</si>
  <si>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</si>
  <si>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</si>
  <si>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</si>
  <si>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</si>
  <si>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</si>
  <si>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</si>
  <si>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</si>
  <si>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</si>
  <si>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</si>
  <si>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</si>
  <si>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</si>
  <si>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</si>
  <si>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</si>
  <si>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</si>
  <si>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</si>
  <si>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</si>
  <si>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</si>
  <si>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</si>
  <si>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</si>
  <si>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</si>
  <si>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</si>
  <si>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</si>
  <si>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</si>
  <si>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</si>
  <si>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</si>
  <si>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</si>
  <si>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</si>
  <si>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</si>
  <si>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</si>
  <si>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</si>
  <si>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</si>
  <si>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</si>
  <si>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</si>
  <si>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</si>
  <si>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</si>
  <si>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</si>
  <si>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</si>
  <si>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</si>
  <si>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</si>
  <si>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</si>
  <si>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</si>
  <si>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</si>
  <si>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</si>
  <si>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</si>
  <si>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</si>
  <si>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</si>
  <si>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</si>
  <si>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</si>
  <si>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</si>
  <si>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</si>
  <si>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</si>
  <si>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</si>
  <si>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</si>
  <si>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</si>
  <si>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</si>
  <si>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</si>
  <si>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</si>
  <si>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</si>
  <si>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</si>
  <si>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</si>
  <si>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</si>
  <si>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</si>
  <si>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</si>
  <si>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</si>
  <si>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</si>
  <si>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</si>
  <si>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</si>
  <si>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</si>
  <si>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</si>
  <si>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</si>
  <si>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</si>
  <si>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</si>
  <si>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</si>
  <si>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</si>
  <si>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</si>
  <si>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</si>
  <si>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</si>
  <si>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</si>
  <si>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</si>
  <si>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</si>
  <si>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</si>
  <si>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</si>
  <si>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</si>
  <si>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</si>
  <si>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</si>
  <si>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</si>
  <si>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</si>
  <si>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</si>
  <si>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</si>
  <si>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</si>
  <si>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</si>
  <si>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</si>
  <si>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</si>
  <si>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</si>
  <si>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</si>
  <si>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</si>
  <si>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</si>
  <si>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</si>
  <si>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</si>
  <si>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</si>
  <si>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</si>
  <si>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</si>
  <si>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</si>
  <si>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</si>
  <si>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</si>
  <si>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</si>
  <si>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</si>
  <si>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</si>
  <si>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</si>
  <si>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</si>
  <si>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</si>
  <si>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</si>
  <si>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</si>
  <si>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</si>
  <si>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</si>
  <si>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</si>
  <si>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</si>
  <si>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</si>
  <si>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</si>
  <si>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</si>
  <si>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</si>
  <si>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</si>
  <si>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</si>
  <si>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</si>
  <si>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</si>
  <si>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</si>
  <si>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</si>
  <si>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</si>
  <si>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</si>
  <si>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</si>
  <si>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</si>
  <si>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</si>
  <si>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</si>
  <si>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</si>
  <si>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</si>
  <si>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</si>
  <si>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</si>
  <si>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</si>
  <si>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</si>
  <si>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</si>
  <si>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</si>
  <si>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</si>
  <si>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</si>
  <si>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</si>
  <si>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</si>
  <si>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</si>
  <si>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</si>
  <si>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</si>
  <si>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</si>
  <si>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</si>
  <si>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</si>
  <si>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</si>
  <si>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</si>
  <si>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</si>
  <si>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</si>
  <si>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</si>
  <si>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</si>
  <si>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</si>
  <si>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</si>
  <si>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</si>
  <si>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</si>
  <si>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</si>
  <si>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</si>
  <si>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</si>
  <si>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</si>
  <si>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</si>
  <si>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</si>
  <si>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</si>
  <si>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</si>
  <si>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</si>
  <si>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</si>
  <si>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</si>
  <si>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</si>
  <si>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</si>
  <si>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</si>
  <si>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</si>
  <si>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</si>
  <si>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</si>
  <si>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</si>
  <si>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</si>
  <si>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</si>
  <si>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</si>
  <si>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</si>
  <si>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</si>
  <si>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</si>
  <si>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</si>
  <si>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</si>
  <si>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</si>
  <si>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</si>
  <si>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</si>
  <si>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</si>
  <si>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</si>
  <si>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</si>
  <si>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</si>
  <si>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</si>
  <si>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</si>
  <si>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</si>
  <si>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</si>
  <si>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</si>
  <si>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</si>
  <si>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</si>
  <si>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</si>
  <si>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</si>
  <si>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</si>
  <si>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</si>
  <si>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</si>
  <si>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</si>
  <si>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</si>
  <si>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</si>
  <si>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</si>
  <si>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</si>
  <si>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</si>
  <si>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</si>
  <si>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</si>
  <si>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</si>
  <si>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</si>
  <si>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</si>
  <si>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</si>
  <si>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</si>
  <si>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</si>
  <si>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</si>
  <si>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</si>
  <si>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</si>
  <si>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</si>
  <si>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</si>
  <si>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</si>
  <si>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</si>
  <si>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</si>
  <si>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</si>
  <si>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</si>
  <si>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</si>
  <si>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</si>
  <si>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</si>
  <si>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</si>
  <si>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</si>
  <si>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</si>
  <si>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</si>
  <si>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</si>
  <si>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</si>
  <si>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</si>
  <si>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</si>
  <si>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</si>
  <si>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</si>
  <si>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</si>
  <si>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</si>
  <si>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</si>
  <si>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</si>
  <si>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</si>
  <si>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</si>
  <si>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</si>
  <si>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</si>
  <si>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</si>
  <si>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</si>
  <si>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</si>
  <si>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</si>
  <si>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</si>
  <si>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</si>
  <si>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</si>
  <si>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</si>
  <si>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</si>
  <si>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</si>
  <si>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</si>
  <si>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</si>
  <si>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</si>
  <si>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</si>
  <si>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</si>
  <si>
    <t xml:space="preserve">  </t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</si>
  <si>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</si>
  <si>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>Moerbeek Wilfried</t>
    </r>
    <r>
      <rPr>
        <b/>
        <sz val="11"/>
        <color rgb="FFFF0000"/>
        <rFont val="Arial"/>
        <family val="2"/>
      </rPr>
      <t xml:space="preserve"> (ns)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</si>
</sst>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8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  <font>
      <b/>
      <sz val="12"/>
      <color rgb="FF008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34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4" fillId="0" borderId="26" xfId="0" applyNumberFormat="1" applyFont="1" applyBorder="1" applyAlignment="1">
      <alignment horizontal="center" vertical="center"/>
    </xf>
    <xf numFmtId="0" fontId="53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7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58" fillId="0" borderId="0" xfId="0" applyFont="1" applyAlignment="1">
      <alignment horizontal="center"/>
    </xf>
    <xf numFmtId="165" fontId="58" fillId="0" borderId="0" xfId="0" applyNumberFormat="1" applyFont="1"/>
    <xf numFmtId="16" fontId="58" fillId="0" borderId="0" xfId="0" applyNumberFormat="1" applyFont="1" applyAlignment="1">
      <alignment horizontal="center"/>
    </xf>
    <xf numFmtId="0" fontId="61" fillId="0" borderId="0" xfId="0" applyFont="1"/>
    <xf numFmtId="164" fontId="31" fillId="0" borderId="0" xfId="0" applyNumberFormat="1" applyFont="1" applyAlignment="1">
      <alignment horizontal="center"/>
    </xf>
    <xf numFmtId="165" fontId="58" fillId="0" borderId="0" xfId="0" applyNumberFormat="1" applyFont="1" applyAlignment="1">
      <alignment horizontal="right"/>
    </xf>
    <xf numFmtId="0" fontId="62" fillId="0" borderId="0" xfId="0" applyFont="1"/>
    <xf numFmtId="168" fontId="12" fillId="0" borderId="0" xfId="0" applyNumberFormat="1" applyFont="1"/>
    <xf numFmtId="0" fontId="63" fillId="0" borderId="0" xfId="0" applyFont="1"/>
    <xf numFmtId="168" fontId="13" fillId="0" borderId="0" xfId="0" applyNumberFormat="1" applyFont="1"/>
    <xf numFmtId="164" fontId="64" fillId="0" borderId="0" xfId="0" applyNumberFormat="1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7" fillId="0" borderId="0" xfId="0" applyFont="1"/>
    <xf numFmtId="0" fontId="67" fillId="0" borderId="0" xfId="0" applyFont="1" applyAlignment="1">
      <alignment horizontal="left"/>
    </xf>
    <xf numFmtId="0" fontId="68" fillId="0" borderId="0" xfId="0" applyFont="1"/>
    <xf numFmtId="164" fontId="67" fillId="0" borderId="0" xfId="0" applyNumberFormat="1" applyFont="1" applyAlignment="1">
      <alignment horizontal="center"/>
    </xf>
    <xf numFmtId="0" fontId="69" fillId="0" borderId="0" xfId="0" applyFont="1"/>
    <xf numFmtId="168" fontId="70" fillId="0" borderId="0" xfId="0" applyNumberFormat="1" applyFont="1"/>
    <xf numFmtId="1" fontId="67" fillId="0" borderId="0" xfId="0" applyNumberFormat="1" applyFont="1" applyAlignment="1">
      <alignment horizontal="center"/>
    </xf>
    <xf numFmtId="164" fontId="67" fillId="0" borderId="0" xfId="0" applyNumberFormat="1" applyFont="1"/>
    <xf numFmtId="0" fontId="70" fillId="0" borderId="0" xfId="0" applyFont="1"/>
    <xf numFmtId="0" fontId="71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 wrapText="1" shrinkToFit="1"/>
    </xf>
    <xf numFmtId="0" fontId="72" fillId="0" borderId="0" xfId="0" applyFont="1" applyAlignment="1">
      <alignment horizontal="center" vertical="center" wrapText="1"/>
    </xf>
    <xf numFmtId="1" fontId="73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4" fillId="0" borderId="0" xfId="0" applyNumberFormat="1" applyFont="1"/>
    <xf numFmtId="1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164" fontId="75" fillId="0" borderId="0" xfId="0" applyNumberFormat="1" applyFont="1" applyAlignment="1">
      <alignment horizontal="right"/>
    </xf>
    <xf numFmtId="164" fontId="26" fillId="0" borderId="0" xfId="0" applyNumberFormat="1" applyFont="1"/>
    <xf numFmtId="0" fontId="76" fillId="0" borderId="0" xfId="0" applyFont="1" applyAlignment="1">
      <alignment horizontal="center"/>
    </xf>
    <xf numFmtId="164" fontId="77" fillId="0" borderId="0" xfId="0" applyNumberFormat="1" applyFont="1" applyAlignment="1">
      <alignment horizontal="right"/>
    </xf>
    <xf numFmtId="164" fontId="78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6" fillId="0" borderId="6" xfId="0" applyFont="1" applyBorder="1" applyAlignment="1">
      <alignment horizontal="center"/>
    </xf>
    <xf numFmtId="0" fontId="79" fillId="0" borderId="52" xfId="0" applyFont="1" applyBorder="1" applyAlignment="1" applyProtection="1">
      <alignment horizontal="center" vertical="center"/>
      <protection locked="0"/>
    </xf>
    <xf numFmtId="0" fontId="80" fillId="0" borderId="52" xfId="0" applyFont="1" applyBorder="1" applyAlignment="1" applyProtection="1">
      <alignment horizontal="center" vertical="center"/>
      <protection locked="0"/>
    </xf>
    <xf numFmtId="0" fontId="80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82" fillId="2" borderId="19" xfId="0" applyFont="1" applyFill="1" applyBorder="1" applyAlignment="1" applyProtection="1">
      <alignment horizontal="center" vertical="center"/>
      <protection locked="0"/>
    </xf>
    <xf numFmtId="0" fontId="12" fillId="0" borderId="8" xfId="0" applyFont="1" applyBorder="1"/>
    <xf numFmtId="0" fontId="75" fillId="0" borderId="38" xfId="0" applyFont="1" applyBorder="1" applyAlignment="1">
      <alignment horizontal="center"/>
    </xf>
    <xf numFmtId="1" fontId="75" fillId="0" borderId="38" xfId="0" applyNumberFormat="1" applyFont="1" applyBorder="1" applyAlignment="1">
      <alignment horizontal="center"/>
    </xf>
    <xf numFmtId="0" fontId="40" fillId="2" borderId="37" xfId="0" applyFont="1" applyFill="1" applyBorder="1" applyAlignment="1" applyProtection="1">
      <alignment horizontal="center" vertical="center"/>
      <protection locked="0"/>
    </xf>
    <xf numFmtId="0" fontId="12" fillId="3" borderId="8" xfId="0" applyFont="1" applyFill="1" applyBorder="1"/>
    <xf numFmtId="0" fontId="69" fillId="0" borderId="0" xfId="0" applyFont="1" applyAlignment="1">
      <alignment horizontal="center"/>
    </xf>
    <xf numFmtId="0" fontId="55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2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59" fillId="0" borderId="0" xfId="0" applyNumberFormat="1" applyFont="1" applyAlignment="1">
      <alignment horizontal="center"/>
    </xf>
    <xf numFmtId="0" fontId="60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6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FF33CC"/>
      <color rgb="FFFFFF99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="140" zoomScaleNormal="140" workbookViewId="0">
      <selection activeCell="A3" sqref="A3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customWidth="1"/>
    <col min="5" max="5" width="17" customWidth="1"/>
    <col min="6" max="6" width="10.109375" bestFit="1" customWidth="1"/>
    <col min="7" max="7" width="14.77734375" customWidth="1"/>
    <col min="8" max="8" width="10.109375" bestFit="1" customWidth="1"/>
    <col min="9" max="10" width="9.33203125" customWidth="1"/>
    <col min="11" max="11" width="0.88671875" customWidth="1"/>
    <col min="12" max="12" width="8.88671875" customWidth="1"/>
  </cols>
  <sheetData>
    <row r="1" spans="1:20" ht="17.25" customHeight="1" x14ac:dyDescent="0.3">
      <c r="A1" s="288">
        <v>0</v>
      </c>
      <c r="B1" s="283" t="s">
        <v>304</v>
      </c>
      <c r="C1" s="284"/>
      <c r="D1" s="284"/>
    </row>
    <row r="2" spans="1:20" ht="17.25" customHeight="1" x14ac:dyDescent="0.3">
      <c r="A2" s="289"/>
      <c r="B2" s="284"/>
      <c r="C2" s="284"/>
      <c r="D2" s="284"/>
      <c r="E2" s="229" t="s">
        <v>334</v>
      </c>
    </row>
    <row r="3" spans="1:20" ht="21" customHeight="1" x14ac:dyDescent="0.35">
      <c r="B3" s="285" t="s">
        <v>0</v>
      </c>
      <c r="C3" s="285"/>
      <c r="D3" s="286"/>
      <c r="E3" s="264">
        <v>46032</v>
      </c>
    </row>
    <row r="4" spans="1:20" ht="16.2" customHeight="1" x14ac:dyDescent="0.5">
      <c r="B4" s="287" t="str">
        <f>IF(A8=26,"EINDSTAND", "TUSSENSTAND"  )</f>
        <v>TUSSENSTAND</v>
      </c>
      <c r="C4" s="287"/>
      <c r="D4" s="287"/>
      <c r="E4" t="s">
        <v>372</v>
      </c>
      <c r="K4" s="46"/>
    </row>
    <row r="5" spans="1:20" ht="25.05" customHeight="1" thickBot="1" x14ac:dyDescent="0.55000000000000004">
      <c r="B5" s="287"/>
      <c r="C5" s="287"/>
      <c r="D5" s="287"/>
      <c r="E5" s="108"/>
      <c r="F5" s="108"/>
      <c r="G5" s="108"/>
      <c r="H5" s="108"/>
      <c r="I5" s="108"/>
      <c r="J5" s="108"/>
      <c r="K5" s="228"/>
      <c r="L5" s="255" t="s">
        <v>354</v>
      </c>
      <c r="M5" s="255" t="s">
        <v>355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26" t="s">
        <v>3</v>
      </c>
      <c r="E6" s="248" t="s">
        <v>349</v>
      </c>
      <c r="F6" s="282" t="s">
        <v>348</v>
      </c>
      <c r="G6" s="282"/>
      <c r="H6" s="282"/>
      <c r="I6" s="253" t="s">
        <v>352</v>
      </c>
      <c r="J6" s="254" t="s">
        <v>353</v>
      </c>
      <c r="K6" s="238"/>
      <c r="L6" s="256">
        <v>14</v>
      </c>
      <c r="M6" s="256">
        <v>14</v>
      </c>
      <c r="N6" s="238"/>
      <c r="O6" s="238"/>
      <c r="P6" s="238"/>
      <c r="Q6" s="238"/>
      <c r="R6" s="238"/>
      <c r="S6" s="236"/>
      <c r="T6" s="236"/>
    </row>
    <row r="7" spans="1:20" s="221" customFormat="1" ht="6.75" customHeight="1" x14ac:dyDescent="0.3">
      <c r="B7" s="222"/>
      <c r="E7" s="249"/>
      <c r="F7" s="249"/>
      <c r="G7" s="249"/>
      <c r="H7" s="249"/>
      <c r="I7" s="239"/>
      <c r="J7" s="239"/>
      <c r="K7" s="239"/>
      <c r="L7" s="239"/>
      <c r="M7" s="239" t="s">
        <v>367</v>
      </c>
      <c r="N7" s="239"/>
      <c r="O7" s="239"/>
      <c r="P7" s="239"/>
      <c r="Q7" s="239"/>
      <c r="R7" s="239"/>
      <c r="S7" s="237"/>
      <c r="T7" s="237"/>
    </row>
    <row r="8" spans="1:20" s="44" customFormat="1" ht="19.2" customHeight="1" x14ac:dyDescent="0.35">
      <c r="A8" s="218">
        <f>COUNTIF(Punten!$E$208:'Punten'!$AD$208,"&gt;0")</f>
        <v>14</v>
      </c>
      <c r="B8" s="219" t="s">
        <v>4</v>
      </c>
      <c r="C8" s="242" t="s">
        <v>8</v>
      </c>
      <c r="D8" s="234">
        <f>Punten!$C$209</f>
        <v>915.41300000000001</v>
      </c>
      <c r="E8" s="250">
        <f>Wildert2!$AL$19</f>
        <v>3713</v>
      </c>
      <c r="F8" s="240" t="str">
        <f>INDEX(Wildert2!$A$4:$A$18,MATCH(MAX(Wildert2!$AO$4:$AO$18),Wildert2!$AO$4:$AO$18,0))</f>
        <v>Van Den Bergh Jacky</v>
      </c>
      <c r="G8" s="244"/>
      <c r="H8" s="251">
        <f>MAX(Wildert2!$AO$4:$AO$18)</f>
        <v>152.75229357798165</v>
      </c>
      <c r="I8" s="259">
        <f>VLOOKUP($F8,Wildert2!$A$4:$AO$18,40,0)</f>
        <v>166.5</v>
      </c>
      <c r="J8" s="260">
        <f>VLOOKUP($F8,Wildert2!$A$4:$AO$18,39,0)</f>
        <v>2</v>
      </c>
      <c r="K8" s="241"/>
      <c r="L8" s="257">
        <f>VLOOKUP($C8,Punten!$D$4:$AD$224,1+$L$6,0)</f>
        <v>915.41300000000024</v>
      </c>
      <c r="M8" s="257">
        <f>VLOOKUP($C8,Punten!$C$4:$AD$224,2+$M$6,0)</f>
        <v>50.507000000000005</v>
      </c>
      <c r="N8" s="241"/>
      <c r="O8" s="241"/>
      <c r="P8" s="241"/>
      <c r="Q8" s="241"/>
      <c r="R8" s="241"/>
      <c r="S8" s="233"/>
      <c r="T8" s="233"/>
    </row>
    <row r="9" spans="1:20" s="44" customFormat="1" ht="20.100000000000001" customHeight="1" x14ac:dyDescent="0.35">
      <c r="A9" s="218">
        <f>COUNTIF(Punten!$E$128:'Punten'!$AD$128,"&gt;0")</f>
        <v>14</v>
      </c>
      <c r="B9" s="219" t="s">
        <v>4</v>
      </c>
      <c r="C9" s="242" t="s">
        <v>15</v>
      </c>
      <c r="D9" s="227">
        <f>Punten!$C$129</f>
        <v>866.17400000000009</v>
      </c>
      <c r="E9" s="250">
        <f>Meeuwkes!$AL$19</f>
        <v>2773.0001000000002</v>
      </c>
      <c r="F9" s="240" t="str">
        <f>INDEX(Meeuwkes!$A$4:$A$18,MATCH(MAX(Meeuwkes!$AO$4:$AO$18),Meeuwkes!$AO$4:$AO$18,0))</f>
        <v>Bove René</v>
      </c>
      <c r="G9" s="244"/>
      <c r="H9" s="251">
        <f>MAX(Meeuwkes!$AO$4:$AO$18)</f>
        <v>136.66666666666666</v>
      </c>
      <c r="I9" s="259">
        <f>VLOOKUP($F9,Meeuwkes!$A$4:$AO$18,40,0)</f>
        <v>27.333333333333332</v>
      </c>
      <c r="J9" s="260">
        <f>VLOOKUP($F9,Meeuwkes!$A$4:$AO$18,39,0)</f>
        <v>6</v>
      </c>
      <c r="K9" s="241"/>
      <c r="L9" s="257">
        <f>VLOOKUP($C9,Punten!$D$4:$AD$224,1+$L$6,0)</f>
        <v>866.17399999999986</v>
      </c>
      <c r="M9" s="257">
        <f>VLOOKUP($C9,Punten!$C$4:$AD$224,2+$M$6,0)</f>
        <v>68.548000000000002</v>
      </c>
      <c r="N9" s="241"/>
      <c r="O9" s="241"/>
      <c r="P9" s="241"/>
      <c r="Q9" s="241"/>
      <c r="R9" s="241"/>
      <c r="S9" s="233"/>
      <c r="T9" s="233"/>
    </row>
    <row r="10" spans="1:20" s="44" customFormat="1" ht="20.100000000000001" customHeight="1" x14ac:dyDescent="0.35">
      <c r="A10" s="218">
        <f>COUNTIF(Punten!E174:'Punten'!AD174,"&gt;0")</f>
        <v>14</v>
      </c>
      <c r="B10" s="219" t="s">
        <v>4</v>
      </c>
      <c r="C10" s="242" t="s">
        <v>14</v>
      </c>
      <c r="D10" s="227">
        <f>Punten!$C$175</f>
        <v>861.86500000000001</v>
      </c>
      <c r="E10" s="250">
        <f>DeBeek!$AL$19</f>
        <v>2654</v>
      </c>
      <c r="F10" s="240" t="str">
        <f>INDEX(Putte!$A$4:$A$18,MATCH(MAX(Putte!$AO$4:$AO$18),Putte!$AO$4:$AO$18,0))</f>
        <v>Van Den Bleeken Eddy</v>
      </c>
      <c r="G10" s="244"/>
      <c r="H10" s="251">
        <f>MAX(Putte!$AO$4:$AO$18)</f>
        <v>124.24242424242425</v>
      </c>
      <c r="I10" s="259">
        <f>VLOOKUP($F10,Putte!$A$4:$AO$18,40,0)</f>
        <v>27.333333333333332</v>
      </c>
      <c r="J10" s="260">
        <f>VLOOKUP($F10,Putte!$A$4:$AO$18,39,0)</f>
        <v>6</v>
      </c>
      <c r="K10" s="241"/>
      <c r="L10" s="257">
        <f>VLOOKUP($C10,Punten!$D$4:$AD$224,1+$L$6,0)</f>
        <v>861.86500000000001</v>
      </c>
      <c r="M10" s="257">
        <f>VLOOKUP($C10,Punten!$C$4:$AD$224,2+$M$6,0)</f>
        <v>47.05</v>
      </c>
      <c r="N10" s="241"/>
      <c r="O10" s="241"/>
      <c r="P10" s="241"/>
      <c r="Q10" s="241"/>
      <c r="R10" s="241"/>
      <c r="S10" s="233"/>
      <c r="T10" s="233"/>
    </row>
    <row r="11" spans="1:20" s="44" customFormat="1" ht="20.100000000000001" customHeight="1" x14ac:dyDescent="0.35">
      <c r="A11" s="244">
        <f>COUNTIF(Punten!$E$67:'Punten'!$AD$67,"&gt;0")</f>
        <v>14</v>
      </c>
      <c r="B11" s="245" t="s">
        <v>4</v>
      </c>
      <c r="C11" s="246" t="s">
        <v>13</v>
      </c>
      <c r="D11" s="247">
        <f>Punten!$C$68</f>
        <v>857.50500000000011</v>
      </c>
      <c r="E11" s="250">
        <f>Meeuwen2!$AL$19</f>
        <v>3083</v>
      </c>
      <c r="F11" s="240" t="str">
        <f>INDEX(Meeuwen2!$A$4:$A$18,MATCH(MAX(Meeuwen2!$AO$4:$AO$18),Meeuwen2!$AO$4:$AO$18,0))</f>
        <v>De Backer Jerome</v>
      </c>
      <c r="G11" s="252"/>
      <c r="H11" s="251">
        <f>MAX(Meeuwen2!$AO$4:$AO$18)</f>
        <v>121.77033492822966</v>
      </c>
      <c r="I11" s="259">
        <f>VLOOKUP($F11,Meeuwen2!$A$4:$AO$18,40,0)</f>
        <v>46.272727272727273</v>
      </c>
      <c r="J11" s="260">
        <f>VLOOKUP($F11,Meeuwen2!$A$4:$AO$18,39,0)</f>
        <v>11</v>
      </c>
      <c r="K11" s="241"/>
      <c r="L11" s="257">
        <f>VLOOKUP($C11,Punten!$D$4:$AD$224,1+$L$6,0)</f>
        <v>857.505</v>
      </c>
      <c r="M11" s="257">
        <f>VLOOKUP($C11,Punten!$C$4:$AD$224,2+$M$6,0)</f>
        <v>60.944000000000003</v>
      </c>
      <c r="N11" s="241"/>
      <c r="O11" s="241"/>
      <c r="P11" s="241"/>
      <c r="Q11" s="241"/>
      <c r="R11" s="241"/>
      <c r="S11" s="233"/>
      <c r="T11" s="233"/>
    </row>
    <row r="12" spans="1:20" s="44" customFormat="1" ht="20.100000000000001" customHeight="1" x14ac:dyDescent="0.35">
      <c r="A12" s="218">
        <f>COUNTIF(Punten!E112:'Punten'!AD112,"&gt;0")</f>
        <v>14</v>
      </c>
      <c r="B12" s="219" t="s">
        <v>4</v>
      </c>
      <c r="C12" s="242" t="s">
        <v>5</v>
      </c>
      <c r="D12" s="227">
        <f>Punten!$C$113</f>
        <v>855.67399999999986</v>
      </c>
      <c r="E12" s="250">
        <f>Oudeglorie!$AL$19</f>
        <v>2578</v>
      </c>
      <c r="F12" s="240" t="str">
        <f>INDEX(Oudeglorie!$A$4:$A$18,MATCH(MAX(Oudeglorie!$AO$4:$AO$18),Oudeglorie!$AO$4:$AO$18,0))</f>
        <v xml:space="preserve">Aerden Carl  </v>
      </c>
      <c r="G12" s="244"/>
      <c r="H12" s="251">
        <f>MAX(Oudeglorie!$AO$4:$AO$18)</f>
        <v>125</v>
      </c>
      <c r="I12" s="259">
        <f>VLOOKUP($F12,Oudeglorie!$A$4:$AO$18,40,0)</f>
        <v>30</v>
      </c>
      <c r="J12" s="260">
        <f>VLOOKUP($F12,Oudeglorie!$A$4:$AO$18,39,0)</f>
        <v>7</v>
      </c>
      <c r="K12" s="241"/>
      <c r="L12" s="257">
        <f>VLOOKUP($C12,Punten!$D$4:$AD$224,1+$L$6,0)</f>
        <v>855.67400000000009</v>
      </c>
      <c r="M12" s="257">
        <f>VLOOKUP($C12,Punten!$C$4:$AD$224,2+$M$6,0)</f>
        <v>63.105000000000004</v>
      </c>
      <c r="N12" s="241"/>
      <c r="O12" s="241"/>
      <c r="P12" s="241"/>
      <c r="Q12" s="241"/>
      <c r="R12" s="241"/>
      <c r="S12" s="233"/>
      <c r="T12" s="233"/>
    </row>
    <row r="13" spans="1:20" s="44" customFormat="1" ht="20.100000000000001" customHeight="1" x14ac:dyDescent="0.35">
      <c r="A13" s="218">
        <f>COUNTIF(Punten!$E$80:'Punten'!$AD$80,"&gt;0")</f>
        <v>14</v>
      </c>
      <c r="B13" s="219" t="s">
        <v>4</v>
      </c>
      <c r="C13" s="242" t="s">
        <v>11</v>
      </c>
      <c r="D13" s="227">
        <f>Punten!$C$81</f>
        <v>855.52800000000002</v>
      </c>
      <c r="E13" s="250">
        <f>Molenheike!$AL$19</f>
        <v>3354</v>
      </c>
      <c r="F13" s="240" t="str">
        <f>INDEX(Molenheike!$A$4:$A$18,MATCH(MAX(Molenheike!$AO$4:$AO$18),Molenheike!$AO$4:$AO$18,0))</f>
        <v>Keuppens Marc</v>
      </c>
      <c r="G13" s="244"/>
      <c r="H13" s="251">
        <f>MAX(Molenheike!$AO$4:$AO$18)</f>
        <v>117.66666666666667</v>
      </c>
      <c r="I13" s="259">
        <f>VLOOKUP($F13,Molenheike!$A$4:$AO$18,40,0)</f>
        <v>35.299999999999997</v>
      </c>
      <c r="J13" s="260">
        <f>VLOOKUP($F13,Molenheike!$A$4:$AO$18,39,0)</f>
        <v>10</v>
      </c>
      <c r="K13" s="241"/>
      <c r="L13" s="257">
        <f>VLOOKUP($C13,Punten!$D$4:$AD$224,1+$L$6,0)</f>
        <v>855.52800000000002</v>
      </c>
      <c r="M13" s="257">
        <f>VLOOKUP($C13,Punten!$C$4:$AD$224,2+$M$6,0)</f>
        <v>68.793999999999997</v>
      </c>
      <c r="N13" s="241"/>
      <c r="O13" s="241"/>
      <c r="P13" s="241"/>
      <c r="Q13" s="241"/>
      <c r="R13" s="241"/>
      <c r="S13" s="233"/>
      <c r="T13" s="233"/>
    </row>
    <row r="14" spans="1:20" s="44" customFormat="1" ht="20.100000000000001" customHeight="1" x14ac:dyDescent="0.35">
      <c r="A14" s="244">
        <f>COUNTIF(Punten!$E$94:'Punten'!$AD$94,"&gt;0")</f>
        <v>14</v>
      </c>
      <c r="B14" s="245" t="s">
        <v>4</v>
      </c>
      <c r="C14" s="246" t="s">
        <v>290</v>
      </c>
      <c r="D14" s="247">
        <f>Punten!$C$95</f>
        <v>829.16800000000012</v>
      </c>
      <c r="E14" s="250">
        <f>Nispen!$AL$19</f>
        <v>2732</v>
      </c>
      <c r="F14" s="240" t="str">
        <f>INDEX(Nispen!$A$4:$A$18,MATCH(MAX(Nispen!$AO$4:$AO$18),Nispen!$AO$4:$AO$18,0))</f>
        <v>Brouwers Vic</v>
      </c>
      <c r="G14" s="244"/>
      <c r="H14" s="251">
        <f>MAX(Nispen!$AO$4:$AO$18)</f>
        <v>111.08597285067874</v>
      </c>
      <c r="I14" s="259">
        <f>VLOOKUP($F14,Nispen!$A$4:$AO$18,40,0)</f>
        <v>75.538461538461533</v>
      </c>
      <c r="J14" s="260">
        <f>VLOOKUP($F14,Nispen!$A$4:$AO$18,39,0)</f>
        <v>13</v>
      </c>
      <c r="K14" s="241"/>
      <c r="L14" s="257">
        <f>VLOOKUP($C14,Punten!$D$4:$AD$224,1+$L$6,0)</f>
        <v>829.16799999999989</v>
      </c>
      <c r="M14" s="257">
        <f>VLOOKUP($C14,Punten!$C$4:$AD$224,2+$M$6,0)</f>
        <v>63.698999999999998</v>
      </c>
      <c r="N14" s="241"/>
      <c r="O14" s="241"/>
      <c r="P14" s="241"/>
      <c r="Q14" s="241"/>
      <c r="R14" s="241"/>
      <c r="S14" s="233"/>
      <c r="T14" s="233"/>
    </row>
    <row r="15" spans="1:20" s="44" customFormat="1" ht="20.100000000000001" customHeight="1" x14ac:dyDescent="0.35">
      <c r="A15" s="218">
        <f>COUNTIF(Punten!$E$223:'Punten'!$AD$223,"&gt;0")</f>
        <v>14</v>
      </c>
      <c r="B15" s="219" t="s">
        <v>4</v>
      </c>
      <c r="C15" s="242" t="s">
        <v>291</v>
      </c>
      <c r="D15" s="227">
        <f>Punten!$C$224</f>
        <v>823.23699999999997</v>
      </c>
      <c r="E15" s="250">
        <f>DeBeek!$AL$19</f>
        <v>2654</v>
      </c>
      <c r="F15" s="240" t="str">
        <f>INDEX(DeBeek!$A$4:$A$18,MATCH(MAX(DeBeek!$AO$4:$AO$18),DeBeek!$AO$4:$AO$18,0))</f>
        <v>Beyers Armand</v>
      </c>
      <c r="G15" s="244"/>
      <c r="H15" s="251">
        <f>MAX(DeBeek!$AO$4:$AO$18)</f>
        <v>121.82539682539681</v>
      </c>
      <c r="I15" s="259">
        <f>VLOOKUP($F15,DeBeek!$A$4:$AO$18,40,0)</f>
        <v>43.857142857142854</v>
      </c>
      <c r="J15" s="260">
        <f>VLOOKUP($F15,DeBeek!$A$4:$AO$18,39,0)</f>
        <v>7</v>
      </c>
      <c r="K15" s="241"/>
      <c r="L15" s="257">
        <f>VLOOKUP($C15,Punten!$D$4:$AD$224,1+$L$6,0)</f>
        <v>823.23699999999997</v>
      </c>
      <c r="M15" s="257">
        <f>VLOOKUP($C15,Punten!$C$4:$AD$224,2+$M$6,0)</f>
        <v>57.353000000000002</v>
      </c>
      <c r="N15" s="241"/>
      <c r="O15" s="241"/>
      <c r="P15" s="241"/>
      <c r="Q15" s="241"/>
      <c r="R15" s="241"/>
      <c r="S15" s="233"/>
      <c r="T15" s="233"/>
    </row>
    <row r="16" spans="1:20" s="44" customFormat="1" ht="20.100000000000001" customHeight="1" x14ac:dyDescent="0.35">
      <c r="A16" s="218">
        <f>COUNTIF(Punten!$E$192:'Punten'!$AD$192,"&gt;0")</f>
        <v>14</v>
      </c>
      <c r="B16" s="219" t="s">
        <v>4</v>
      </c>
      <c r="C16" s="243" t="s">
        <v>12</v>
      </c>
      <c r="D16" s="234">
        <f>Punten!$C$193</f>
        <v>822.90299999999979</v>
      </c>
      <c r="E16" s="250">
        <f>Wildert1!$AL$19</f>
        <v>2851</v>
      </c>
      <c r="F16" s="240" t="str">
        <f>INDEX(Wildert1!$A$4:$A$18,MATCH(MAX(Wildert1!$AO$4:$AO$18),Wildert1!$AO$4:$AO$18,0))</f>
        <v xml:space="preserve">Konings Guido </v>
      </c>
      <c r="G16" s="244"/>
      <c r="H16" s="251">
        <f>MAX(Wildert1!$AO$4:$AO$18)</f>
        <v>136.80555555555557</v>
      </c>
      <c r="I16" s="259">
        <f>VLOOKUP($F16,Wildert1!$A$4:$AO$18,40,0)</f>
        <v>32.833333333333336</v>
      </c>
      <c r="J16" s="260">
        <f>VLOOKUP($F16,Wildert1!$A$4:$AO$18,39,0)</f>
        <v>6</v>
      </c>
      <c r="K16" s="241"/>
      <c r="L16" s="257">
        <f>VLOOKUP($C16,Punten!$D$4:$AD$224,1+$L$6,0)</f>
        <v>822.90299999999991</v>
      </c>
      <c r="M16" s="257">
        <f>VLOOKUP($C16,Punten!$C$4:$AD$224,2+$M$6,0)</f>
        <v>49.783000000000001</v>
      </c>
      <c r="N16" s="241"/>
      <c r="O16" s="241"/>
      <c r="P16" s="241"/>
      <c r="Q16" s="241"/>
      <c r="R16" s="241" t="s">
        <v>368</v>
      </c>
      <c r="S16" s="233"/>
      <c r="T16" s="233"/>
    </row>
    <row r="17" spans="1:20" s="44" customFormat="1" ht="20.100000000000001" customHeight="1" x14ac:dyDescent="0.35">
      <c r="A17" s="244">
        <f>COUNTIF(Punten!$E$157:'Punten'!$AD$157,"&gt;0")</f>
        <v>14</v>
      </c>
      <c r="B17" s="245" t="s">
        <v>4</v>
      </c>
      <c r="C17" s="246" t="s">
        <v>9</v>
      </c>
      <c r="D17" s="247">
        <f>Punten!$C$158</f>
        <v>818.33999999999992</v>
      </c>
      <c r="E17" s="250">
        <f>Rooiebal2!$AL$19</f>
        <v>2505</v>
      </c>
      <c r="F17" s="240" t="str">
        <f>INDEX(Rooiebal2!$A$4:$A$18,MATCH(MAX(Rooiebal2!$AO$4:$AO$18),Rooiebal2!$AO$4:$AO$18,0))</f>
        <v xml:space="preserve">Donckers Johnny </v>
      </c>
      <c r="G17" s="244"/>
      <c r="H17" s="251">
        <f>MAX(Rooiebal2!$AO$4:$AO$18)</f>
        <v>130.80000000000001</v>
      </c>
      <c r="I17" s="259">
        <f>VLOOKUP($F17,Rooiebal2!$A$4:$AO$18,40,0)</f>
        <v>32.700000000000003</v>
      </c>
      <c r="J17" s="260">
        <f>VLOOKUP($F17,Rooiebal2!$A$4:$AO$18,39,0)</f>
        <v>10</v>
      </c>
      <c r="K17" s="241"/>
      <c r="L17" s="257">
        <f>VLOOKUP($C17,Punten!$D$4:$AD$224,1+$L$6,0)</f>
        <v>818.34</v>
      </c>
      <c r="M17" s="257">
        <f>VLOOKUP($C17,Punten!$C$4:$AD$224,2+$M$6,0)</f>
        <v>53.446999999999996</v>
      </c>
      <c r="N17" s="241"/>
      <c r="O17" s="241"/>
      <c r="P17" s="241"/>
      <c r="Q17" s="241"/>
      <c r="R17" s="241"/>
      <c r="S17" s="233"/>
      <c r="T17" s="233"/>
    </row>
    <row r="18" spans="1:20" s="44" customFormat="1" ht="20.100000000000001" customHeight="1" x14ac:dyDescent="0.35">
      <c r="A18" s="218">
        <f>COUNTIF(Punten!$E$16:'Punten'!$AD$16,"&gt;0")</f>
        <v>14</v>
      </c>
      <c r="B18" s="219" t="s">
        <v>4</v>
      </c>
      <c r="C18" s="243" t="s">
        <v>6</v>
      </c>
      <c r="D18" s="227">
        <f>Punten!$C$17</f>
        <v>800.88400000000001</v>
      </c>
      <c r="E18" s="250">
        <f>Horendonk!$AL$19</f>
        <v>2183</v>
      </c>
      <c r="F18" s="240" t="str">
        <f>INDEX(Horendonk!$A$4:$A$18,MATCH(MAX(Horendonk!$AO$4:$AO$18),Horendonk!$AO$4:$AO$18,0))</f>
        <v>Veraart Jef     (ns)</v>
      </c>
      <c r="G18" s="244"/>
      <c r="H18" s="251">
        <f>MAX(Horendonk!$AO$4:$AO$18)</f>
        <v>122.22222222222223</v>
      </c>
      <c r="I18" s="259">
        <f>VLOOKUP($F18,Horendonk!$A$4:$AO$18,40,0)</f>
        <v>33</v>
      </c>
      <c r="J18" s="260">
        <f>VLOOKUP($F18,Horendonk!$A$4:$AO$18,39,0)</f>
        <v>2</v>
      </c>
      <c r="K18" s="241"/>
      <c r="L18" s="257">
        <f>VLOOKUP($C18,Punten!$D$4:$AD$224,1+$L$6,0)</f>
        <v>800.88400000000001</v>
      </c>
      <c r="M18" s="257">
        <f>VLOOKUP($C18,Punten!$C$4:$AD$224,2+$M$6,0)</f>
        <v>59.261999999999993</v>
      </c>
      <c r="N18" s="241"/>
      <c r="O18" s="241"/>
      <c r="P18" s="241"/>
      <c r="Q18" s="241"/>
      <c r="R18" s="241"/>
      <c r="S18" s="233"/>
      <c r="T18" s="233"/>
    </row>
    <row r="19" spans="1:20" s="44" customFormat="1" ht="20.100000000000001" customHeight="1" x14ac:dyDescent="0.35">
      <c r="A19" s="244">
        <f>COUNTIF(Punten!$E$35:'Punten'!$AD$35,"&gt;0")</f>
        <v>14</v>
      </c>
      <c r="B19" s="245" t="s">
        <v>4</v>
      </c>
      <c r="C19" s="243" t="s">
        <v>10</v>
      </c>
      <c r="D19" s="247">
        <f>Punten!$C$36</f>
        <v>788.74199999999996</v>
      </c>
      <c r="E19" s="250">
        <f>Kerkuilen!$AL$19</f>
        <v>3502</v>
      </c>
      <c r="F19" s="240" t="str">
        <f>INDEX(Kerkuilen!$A$4:$A$18,MATCH(MAX(Kerkuilen!$AO$4:$AO$18),Kerkuilen!$AO$4:$AO$18,0))</f>
        <v>De Kaey Piet</v>
      </c>
      <c r="G19" s="244"/>
      <c r="H19" s="251">
        <f>MAX(Kerkuilen!$AO$4:$AO$18)</f>
        <v>111.53846153846155</v>
      </c>
      <c r="I19" s="259">
        <f>VLOOKUP($F19,Kerkuilen!$A$4:$AO$18,40,0)</f>
        <v>58</v>
      </c>
      <c r="J19" s="260">
        <f>VLOOKUP($F19,Kerkuilen!$A$4:$AO$18,39,0)</f>
        <v>5</v>
      </c>
      <c r="K19" s="241"/>
      <c r="L19" s="257">
        <f>VLOOKUP($C19,Punten!$D$4:$AD$224,1+$L$6,0)</f>
        <v>788.74200000000008</v>
      </c>
      <c r="M19" s="257">
        <f>VLOOKUP($C19,Punten!$C$4:$AD$224,2+$M$6,0)</f>
        <v>62.791000000000004</v>
      </c>
      <c r="N19" s="241"/>
      <c r="O19" s="241"/>
      <c r="P19" s="241"/>
      <c r="Q19" s="241"/>
      <c r="R19" s="241"/>
      <c r="S19" s="233"/>
      <c r="T19" s="233"/>
    </row>
    <row r="20" spans="1:20" s="44" customFormat="1" ht="20.100000000000001" customHeight="1" x14ac:dyDescent="0.35">
      <c r="A20" s="244">
        <f>COUNTIF(Punten!$E$142:'Punten'!$AD$142,"&gt;0")</f>
        <v>14</v>
      </c>
      <c r="B20" s="245" t="s">
        <v>4</v>
      </c>
      <c r="C20" s="243" t="s">
        <v>7</v>
      </c>
      <c r="D20" s="247">
        <f>Punten!$C$143</f>
        <v>776.54300000000001</v>
      </c>
      <c r="E20" s="250">
        <f>Rooiebal1!$AL$19</f>
        <v>2252</v>
      </c>
      <c r="F20" s="240" t="str">
        <f>INDEX(Rooiebal1!$A$4:$A$18,MATCH(MAX(Rooiebal1!$AO$4:$AO$18),Rooiebal1!$AO$4:$AO$18,0))</f>
        <v xml:space="preserve">Raeymakers Pierre </v>
      </c>
      <c r="G20" s="244"/>
      <c r="H20" s="251">
        <f>MAX(Rooiebal1!$AO$4:$AO$18)</f>
        <v>143.47826086956522</v>
      </c>
      <c r="I20" s="259">
        <f>VLOOKUP($F20,Rooiebal1!$A$4:$AO$18,40,0)</f>
        <v>33</v>
      </c>
      <c r="J20" s="260">
        <f>VLOOKUP($F20,Rooiebal1!$A$4:$AO$18,39,0)</f>
        <v>2</v>
      </c>
      <c r="K20" s="241"/>
      <c r="L20" s="257">
        <f>VLOOKUP($C20,Punten!$D$4:$AD$224,1+$L$6,0)</f>
        <v>776.54300000000012</v>
      </c>
      <c r="M20" s="257">
        <f>VLOOKUP($C20,Punten!$C$4:$AD$224,2+$M$6,0)</f>
        <v>64.424000000000007</v>
      </c>
      <c r="N20" s="241"/>
      <c r="O20" s="241"/>
      <c r="P20" s="241"/>
      <c r="Q20" s="241"/>
      <c r="R20" s="241"/>
      <c r="S20" s="233"/>
      <c r="T20" s="233"/>
    </row>
    <row r="21" spans="1:20" ht="19.95" customHeight="1" x14ac:dyDescent="0.35">
      <c r="A21" s="244">
        <f>COUNTIF(Punten!$E$50:'Punten'!$AD$50,"&gt;0")</f>
        <v>14</v>
      </c>
      <c r="B21" s="245" t="s">
        <v>4</v>
      </c>
      <c r="C21" s="243" t="s">
        <v>16</v>
      </c>
      <c r="D21" s="247">
        <f>Punten!$C$51</f>
        <v>734.78700000000003</v>
      </c>
      <c r="E21" s="250">
        <f>Meeuwen1!$AL$19</f>
        <v>2005</v>
      </c>
      <c r="F21" s="240" t="str">
        <f>INDEX(Meeuwen1!$A$4:$A$18,MATCH(MAX(Meeuwen1!$AO$4:$AO$18),Meeuwen1!$AO$4:$AO$18,0))</f>
        <v>Vossen Filip</v>
      </c>
      <c r="G21" s="244"/>
      <c r="H21" s="251">
        <f>MAX(Meeuwen1!$AO$4:$AO$18)</f>
        <v>111.71875</v>
      </c>
      <c r="I21" s="259">
        <f>VLOOKUP($F21,Meeuwen1!$A$4:$AO$18,40,0)</f>
        <v>17.875</v>
      </c>
      <c r="J21" s="260">
        <f>VLOOKUP($F21,Meeuwen1!$A$4:$AO$18,39,0)</f>
        <v>8</v>
      </c>
      <c r="K21" s="35"/>
      <c r="L21" s="257">
        <f>VLOOKUP($C21,Punten!$D$4:$AD$224,1+$L$6,0)</f>
        <v>734.78700000000003</v>
      </c>
      <c r="M21" s="257">
        <f>VLOOKUP($C21,Punten!$C$4:$AD$224,2+$M$6,0)</f>
        <v>67.884999999999991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289</v>
      </c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5" priority="5" operator="equal">
      <formula>0</formula>
    </cfRule>
  </conditionalFormatting>
  <conditionalFormatting sqref="C8">
    <cfRule type="expression" dxfId="104" priority="15">
      <formula>$A$1&lt;&gt;0</formula>
    </cfRule>
  </conditionalFormatting>
  <conditionalFormatting sqref="C21">
    <cfRule type="expression" dxfId="103" priority="4">
      <formula>$A$1&lt;&gt;1</formula>
    </cfRule>
  </conditionalFormatting>
  <conditionalFormatting sqref="E5:M21">
    <cfRule type="expression" dxfId="102" priority="7">
      <formula>$A$1&lt;1</formula>
    </cfRule>
  </conditionalFormatting>
  <conditionalFormatting sqref="E5:N21">
    <cfRule type="expression" dxfId="101" priority="3">
      <formula>$A$1&gt;2</formula>
    </cfRule>
  </conditionalFormatting>
  <conditionalFormatting sqref="L5:M21">
    <cfRule type="expression" dxfId="100" priority="2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9"/>
  <sheetViews>
    <sheetView showGridLines="0" topLeftCell="A156" zoomScale="107" zoomScaleNormal="100" workbookViewId="0">
      <selection activeCell="C175" sqref="C175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7</v>
      </c>
      <c r="B4" s="28" t="str">
        <f>Horendonk!A4</f>
        <v>Ansems Ferre</v>
      </c>
      <c r="C4" s="32">
        <f>IF(Horendonk!AL4=0," ",SUM(E4:AD4))</f>
        <v>79.472000000000008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>
        <f>IF(Horendonk!U4=(""),(""),ROUND(Horendonk!U4/Horendonk!$T4*10,3))</f>
        <v>8.9469999999999992</v>
      </c>
      <c r="S4" s="36" t="str">
        <f>IF(Horendonk!V4=(""),(""),ROUND(Horendonk!V4/Horendonk!$T4*10,3))</f>
        <v/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5</v>
      </c>
      <c r="B5" s="28" t="str">
        <f>Horendonk!A5</f>
        <v xml:space="preserve">Arnouts Louis    </v>
      </c>
      <c r="C5" s="32">
        <f>IF(Horendonk!AL5=0," ",SUM(E5:AD5))</f>
        <v>47.715000000000003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>
        <f>IF(Horendonk!O5=(""),(""),ROUND(Horendonk!O5/Horendonk!$B5*10,3))</f>
        <v>10.286</v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10</v>
      </c>
      <c r="B7" s="28" t="str">
        <f>Horendonk!A7</f>
        <v>De Backer Jef</v>
      </c>
      <c r="C7" s="32">
        <f>IF(Horendonk!AL7=0," ",SUM(E7:AD7))</f>
        <v>99.998999999999995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>
        <f>IF(Horendonk!O7=(""),(""),ROUND(Horendonk!O7/Horendonk!$B7*10,3))</f>
        <v>10</v>
      </c>
      <c r="R7" s="36">
        <f>IF(Horendonk!U7=(""),(""),ROUND(Horendonk!U7/Horendonk!$T7*10,3))</f>
        <v>12.692</v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8</v>
      </c>
      <c r="B8" s="28" t="str">
        <f>Horendonk!A8</f>
        <v>Herreyers Remy</v>
      </c>
      <c r="C8" s="32">
        <f>IF(Horendonk!AL8=0," ",SUM(E8:AD8))</f>
        <v>64.373999999999995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>
        <f>IF(Horendonk!O8=(""),(""),ROUND(Horendonk!O8/Horendonk!$B8*10,3))</f>
        <v>10.625</v>
      </c>
      <c r="R8" s="36" t="str">
        <f>IF(Horendonk!U8=(""),(""),ROUND(Horendonk!U8/Horendonk!$T8*10,3))</f>
        <v/>
      </c>
      <c r="S8" s="36" t="str">
        <f>IF(Horendonk!V8=(""),(""),ROUND(Horendonk!V8/Horendonk!$T8*10,3))</f>
        <v/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7</v>
      </c>
      <c r="B9" s="80" t="str">
        <f>Horendonk!A9</f>
        <v>Maas Guy</v>
      </c>
      <c r="C9" s="32">
        <f>IF(Horendonk!AL9=0," ",SUM(E9:AD9))</f>
        <v>58.000000000000007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>
        <f>IF(Horendonk!U9=(""),(""),ROUND(Horendonk!U9/Horendonk!$T9*10,3))</f>
        <v>10</v>
      </c>
      <c r="S9" s="36" t="str">
        <f>IF(Horendonk!V9=(""),(""),ROUND(Horendonk!V9/Horendonk!$T9*10,3))</f>
        <v/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8</v>
      </c>
      <c r="B10" s="28" t="str">
        <f>Horendonk!A10</f>
        <v xml:space="preserve">Nelen Johan  </v>
      </c>
      <c r="C10" s="32">
        <f>IF(Horendonk!AL10=0," ",SUM(E10:AD10))</f>
        <v>78.665999999999997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>
        <f>IF(Horendonk!O10=(""),(""),ROUND(Horendonk!O10/Horendonk!$B10*10,3))</f>
        <v>8</v>
      </c>
      <c r="R10" s="36" t="str">
        <f>IF(Horendonk!U10=(""),(""),ROUND(Horendonk!U10/Horendonk!$T10*10,3))</f>
        <v/>
      </c>
      <c r="S10" s="36" t="str">
        <f>IF(Horendonk!V10=(""),(""),ROUND(Horendonk!V10/Horendonk!$T10*10,3))</f>
        <v/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8</v>
      </c>
      <c r="B11" s="28" t="str">
        <f>Horendonk!A11</f>
        <v>Oerlemans Willy</v>
      </c>
      <c r="C11" s="32">
        <f>IF(Horendonk!AL11=0," ",SUM(E11:AD11))</f>
        <v>71.430000000000007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>
        <f>IF(Horendonk!O11=(""),(""),ROUND(Horendonk!O11/Horendonk!$B11*10,3))</f>
        <v>7.1429999999999998</v>
      </c>
      <c r="R11" s="36" t="str">
        <f>IF(Horendonk!U11=(""),(""),ROUND(Horendonk!U11/Horendonk!$T11*10,3))</f>
        <v/>
      </c>
      <c r="S11" s="36" t="str">
        <f>IF(Horendonk!V11=(""),(""),ROUND(Horendonk!V11/Horendonk!$T11*10,3))</f>
        <v/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11</v>
      </c>
      <c r="B12" s="28" t="str">
        <f>Horendonk!A12</f>
        <v>Siemons Jos</v>
      </c>
      <c r="C12" s="32">
        <f>IF(Horendonk!AL12=0," ",SUM(E12:AD12))</f>
        <v>109.6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>
        <f>IF(Horendonk!U12=(""),(""),ROUND(Horendonk!U12/Horendonk!$T12*10,3))</f>
        <v>11.6</v>
      </c>
      <c r="S12" s="36" t="str">
        <f>IF(Horendonk!V12=(""),(""),ROUND(Horendonk!V12/Horendonk!$T12*10,3))</f>
        <v/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9</v>
      </c>
      <c r="B13" s="28" t="str">
        <f>Horendonk!A13</f>
        <v>Van Aert André</v>
      </c>
      <c r="C13" s="32">
        <f>IF(Horendonk!AL13=0," ",SUM(E13:AD13))</f>
        <v>85.516000000000005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>
        <f>IF(Horendonk!O13=(""),(""),ROUND(Horendonk!O13/Horendonk!$B13*10,3))</f>
        <v>11.034000000000001</v>
      </c>
      <c r="R13" s="36">
        <f>IF(Horendonk!U13=(""),(""),ROUND(Horendonk!U13/Horendonk!$T13*10,3))</f>
        <v>10.69</v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65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65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9</v>
      </c>
      <c r="B15" s="81" t="str">
        <f>Horendonk!A15</f>
        <v xml:space="preserve">Vergouwen René </v>
      </c>
      <c r="C15" s="32">
        <f>IF(Horendonk!AL15=0," ",SUM(E15:AD15))</f>
        <v>81.667000000000002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>
        <f>IF(Horendonk!U15=(""),(""),ROUND(Horendonk!U15/Horendonk!$T15*10,3))</f>
        <v>5.3330000000000002</v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4" t="str">
        <f>B3</f>
        <v>HORENDONK</v>
      </c>
      <c r="D16" s="223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>
        <f t="shared" si="1"/>
        <v>57.088000000000001</v>
      </c>
      <c r="R16" s="36">
        <f t="shared" si="1"/>
        <v>59.261999999999993</v>
      </c>
      <c r="S16" s="36" t="str">
        <f t="shared" si="1"/>
        <v xml:space="preserve"> 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800.88400000000001</v>
      </c>
      <c r="D17" s="223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>
        <f t="shared" ref="Q17" si="13">IF(Q16=(" "),(" "),P17+Q16)</f>
        <v>741.62200000000007</v>
      </c>
      <c r="R17" s="40">
        <f t="shared" ref="R17" si="14">IF(R16=(" "),(" "),Q17+R16)</f>
        <v>800.88400000000001</v>
      </c>
      <c r="S17" s="40" t="str">
        <f t="shared" ref="S17" si="15">IF(S16=(" "),(" "),R17+S16)</f>
        <v xml:space="preserve"> 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67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7</v>
      </c>
      <c r="B20" s="28" t="str">
        <f>Kerkuilen!A4</f>
        <v xml:space="preserve">Antonissen Gust      </v>
      </c>
      <c r="C20" s="32">
        <f>IF(Kerkuilen!AL4=0," ",SUM(E20:AD20))</f>
        <v>73.225999999999999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>
        <f>IF(Kerkuilen!O4=(""),(""),ROUND(Kerkuilen!O4/Kerkuilen!$B4*10,3))</f>
        <v>11.613</v>
      </c>
      <c r="R20" s="36">
        <f>IF(Kerkuilen!U4=(""),(""),ROUND(Kerkuilen!U4/Kerkuilen!$T4*10,3))</f>
        <v>10.323</v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5</v>
      </c>
      <c r="B21" s="28" t="str">
        <f>Kerkuilen!A5</f>
        <v>De Kaey Piet</v>
      </c>
      <c r="C21" s="32">
        <f>IF(Kerkuilen!AL5=0," ",SUM(E21:AD21))</f>
        <v>55.769999999999996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>
        <f>IF(Kerkuilen!U5=(""),(""),ROUND(Kerkuilen!U5/Kerkuilen!$T5*10,3))</f>
        <v>13.654</v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3</v>
      </c>
      <c r="B22" s="28" t="str">
        <f>Kerkuilen!A6</f>
        <v>Elst Stan</v>
      </c>
      <c r="C22" s="32">
        <f>IF(Kerkuilen!AL6=0," ",SUM(E22:AD22))</f>
        <v>25.951999999999998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3</v>
      </c>
      <c r="B24" s="28" t="str">
        <f>Kerkuilen!A8</f>
        <v xml:space="preserve">Jacobis Martin </v>
      </c>
      <c r="C24" s="32">
        <f>IF(Kerkuilen!AL8=0," ",SUM(E24:AD24))</f>
        <v>30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 t="str">
        <f>IF(Kerkuilen!V8=(""),(""),ROUND(Kerkuilen!V8/Kerkuilen!$T8*10,3))</f>
        <v/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7</v>
      </c>
      <c r="B25" s="28" t="str">
        <f>Kerkuilen!A9</f>
        <v>Lambrechts Jef</v>
      </c>
      <c r="C25" s="32">
        <f>IF(Kerkuilen!AL9=0," ",SUM(E25:AD25))</f>
        <v>67.17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 t="str">
        <f>IF(Kerkuilen!V9=(""),(""),ROUND(Kerkuilen!V9/Kerkuilen!$T9*10,3))</f>
        <v/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7</v>
      </c>
      <c r="B26" s="28" t="str">
        <f>Kerkuilen!A10</f>
        <v>Naulaerts Rik</v>
      </c>
      <c r="C26" s="32">
        <f>IF(Kerkuilen!AL10=0," ",SUM(E26:AD26))</f>
        <v>65.882000000000005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>
        <f>IF(Kerkuilen!O10=(""),(""),ROUND(Kerkuilen!O10/Kerkuilen!$B10*10,3))</f>
        <v>5.6859999999999999</v>
      </c>
      <c r="R26" s="36">
        <f>IF(Kerkuilen!U10=(""),(""),ROUND(Kerkuilen!U10/Kerkuilen!$T10*10,3))</f>
        <v>14.118</v>
      </c>
      <c r="S26" s="36" t="str">
        <f>IF(Kerkuilen!V10=(""),(""),ROUND(Kerkuilen!V10/Kerkuilen!$T10*10,3))</f>
        <v/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4</v>
      </c>
      <c r="B27" s="28" t="str">
        <f>Kerkuilen!A11</f>
        <v>Peeters Wies</v>
      </c>
      <c r="C27" s="32">
        <f>IF(Kerkuilen!AL11=0," ",SUM(E27:AD27))</f>
        <v>33.571999999999996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10</v>
      </c>
      <c r="B28" s="28" t="str">
        <f>Kerkuilen!A12</f>
        <v>Pleysier Luc</v>
      </c>
      <c r="C28" s="32">
        <f>IF(Kerkuilen!AL12=0," ",SUM(E28:AD28))</f>
        <v>81.334000000000003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>
        <f>IF(Kerkuilen!O12=(""),(""),ROUND(Kerkuilen!O12/Kerkuilen!$B12*10,3))</f>
        <v>8.4440000000000008</v>
      </c>
      <c r="R28" s="36" t="str">
        <f>IF(Kerkuilen!U12=(""),(""),ROUND(Kerkuilen!U12/Kerkuilen!$T12*10,3))</f>
        <v/>
      </c>
      <c r="S28" s="36" t="str">
        <f>IF(Kerkuilen!V12=(""),(""),ROUND(Kerkuilen!V12/Kerkuilen!$T12*10,3))</f>
        <v/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7</v>
      </c>
      <c r="B29" s="28" t="str">
        <f>Kerkuilen!A13</f>
        <v xml:space="preserve">Quick Gerard </v>
      </c>
      <c r="C29" s="32">
        <f>IF(Kerkuilen!AL13=0," ",SUM(E29:AD29))</f>
        <v>72.307000000000002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>
        <f>IF(Kerkuilen!O13=(""),(""),ROUND(Kerkuilen!O13/Kerkuilen!$B13*10,3))</f>
        <v>9.2309999999999999</v>
      </c>
      <c r="R29" s="36" t="str">
        <f>IF(Kerkuilen!U13=(""),(""),ROUND(Kerkuilen!U13/Kerkuilen!$T13*10,3))</f>
        <v/>
      </c>
      <c r="S29" s="36" t="str">
        <f>IF(Kerkuilen!V13=(""),(""),ROUND(Kerkuilen!V13/Kerkuilen!$T13*10,3))</f>
        <v/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9</v>
      </c>
      <c r="B30" s="80" t="str">
        <f>Kerkuilen!A14</f>
        <v>Schrooyen Jef</v>
      </c>
      <c r="C30" s="32">
        <f>IF(Kerkuilen!AL14=0," ",SUM(E30:AD30))</f>
        <v>76.078000000000003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>
        <f>IF(Kerkuilen!O14=(""),(""),ROUND(Kerkuilen!O14/Kerkuilen!$B14*10,3))</f>
        <v>10.784000000000001</v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6</v>
      </c>
      <c r="B31" s="28" t="str">
        <f>Kerkuilen!A15</f>
        <v>Uytdewilligen Hubert</v>
      </c>
      <c r="C31" s="32">
        <f>IF(Kerkuilen!AL15=0," ",SUM(E31:AD31))</f>
        <v>57.575000000000003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 t="str">
        <f>IF(Kerkuilen!V15=(""),(""),ROUND(Kerkuilen!V15/Kerkuilen!$T15*10,3))</f>
        <v/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5</v>
      </c>
      <c r="B32" s="38" t="str">
        <f>Kerkuilen!A16</f>
        <v>Van Ginneken Cyriel [NS 20]</v>
      </c>
      <c r="C32" s="32">
        <f>IF(Kerkuilen!AL16=0," ",SUM(E32:AD32))</f>
        <v>45.875</v>
      </c>
      <c r="E32" s="36" t="str">
        <f>IF(Kerkuilen!C16=(""),(""),ROUND(Kerkuilen!C16/Kerkuilen!$B16*10,3))</f>
        <v/>
      </c>
      <c r="F32" s="265">
        <f>IF(Kerkuilen!D16=(""),(""),ROUND(Kerkuilen!D16/20*10,3))</f>
        <v>8</v>
      </c>
      <c r="G32" s="265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65">
        <f>IF(Kerkuilen!M16=(""),(""),ROUND(Kerkuilen!M16/20*10,3))</f>
        <v>8.5</v>
      </c>
      <c r="P32" s="36" t="str">
        <f>IF(Kerkuilen!N16=(""),(""),ROUND(Kerkuilen!N16/Kerkuilen!$B16*10,3))</f>
        <v/>
      </c>
      <c r="Q32" s="36">
        <f>IF(Kerkuilen!O16=(""),(""),ROUND(Kerkuilen!O16/Kerkuilen!$B16*10,3))</f>
        <v>12</v>
      </c>
      <c r="R32" s="36">
        <f>IF(Kerkuilen!U16=(""),(""),ROUND(Kerkuilen!U16/Kerkuilen!$T16*10,3))</f>
        <v>11.875</v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7</v>
      </c>
      <c r="B33" s="38" t="str">
        <f>Kerkuilen!A17</f>
        <v>Van Oers Danny  [NS 50]</v>
      </c>
      <c r="C33" s="32">
        <f>IF(Kerkuilen!AL17=0," ",SUM(E33:AD33))</f>
        <v>68.480999999999995</v>
      </c>
      <c r="E33" s="36" t="str">
        <f>IF(Kerkuilen!C17=(""),(""),ROUND(Kerkuilen!C17/Kerkuilen!$B17*10,3))</f>
        <v/>
      </c>
      <c r="F33" s="265">
        <f>IF(Kerkuilen!D17=(""),(""),ROUND(Kerkuilen!D17/50*10,3))</f>
        <v>10</v>
      </c>
      <c r="G33" s="265">
        <f>IF(Kerkuilen!E17=(""),(""),ROUND(Kerkuilen!E17/50*10,3))</f>
        <v>9</v>
      </c>
      <c r="H33" s="265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>
        <f>IF(Kerkuilen!U17=(""),(""),ROUND(Kerkuilen!U17/Kerkuilen!$T17*10,3))</f>
        <v>8.6270000000000007</v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2</v>
      </c>
      <c r="B34" s="28" t="str">
        <f>Kerkuilen!A18</f>
        <v>Van Oers John</v>
      </c>
      <c r="C34" s="32">
        <f>IF(Kerkuilen!AL16=0," ",SUM(E34:AD34))</f>
        <v>17.742000000000001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>
        <f>IF(Kerkuilen!U18=(""),(""),ROUND(Kerkuilen!U18/Kerkuilen!$T18*10,3))</f>
        <v>4.194</v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5" t="str">
        <f>B19</f>
        <v>KERKUILEN</v>
      </c>
      <c r="D35" s="223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>
        <f t="shared" si="29"/>
        <v>57.758000000000003</v>
      </c>
      <c r="R35" s="36">
        <f t="shared" si="29"/>
        <v>62.791000000000004</v>
      </c>
      <c r="S35" s="36" t="str">
        <f t="shared" si="29"/>
        <v xml:space="preserve"> 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788.74199999999996</v>
      </c>
      <c r="D36" s="223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>
        <f t="shared" si="30"/>
        <v>725.95100000000002</v>
      </c>
      <c r="R36" s="40">
        <f t="shared" si="30"/>
        <v>788.74200000000008</v>
      </c>
      <c r="S36" s="40" t="str">
        <f t="shared" si="30"/>
        <v xml:space="preserve"> 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67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10</v>
      </c>
      <c r="B39" s="28" t="str">
        <f>Meeuwen1!A4</f>
        <v>Aerts Adri</v>
      </c>
      <c r="C39" s="32">
        <f>IF(Meeuwen1!AL4=0," ",SUM(E39:AD39))</f>
        <v>102.81500000000001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>
        <f>IF(Meeuwen1!O4=(""),(""),ROUND(Meeuwen1!O4/Meeuwen1!$B4*10,3))</f>
        <v>9.6880000000000006</v>
      </c>
      <c r="R39" s="36">
        <f>IF(Meeuwen1!U4=(""),(""),ROUND(Meeuwen1!U4/Meeuwen1!$T4*10,3))</f>
        <v>11.563000000000001</v>
      </c>
      <c r="S39" s="36" t="str">
        <f>IF(Meeuwen1!V4=(""),(""),ROUND(Meeuwen1!V4/Meeuwen1!$T4*10,3))</f>
        <v/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10</v>
      </c>
      <c r="B40" s="28" t="str">
        <f>Meeuwen1!A5</f>
        <v>Bocken Jean Pierre</v>
      </c>
      <c r="C40" s="32">
        <f>IF(Meeuwen1!AL5=0," ",SUM(E40:AD40))</f>
        <v>80.554000000000002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>
        <f>IF(Meeuwen1!O5=(""),(""),ROUND(Meeuwen1!O5/Meeuwen1!$B5*10,3))</f>
        <v>7.7779999999999996</v>
      </c>
      <c r="R40" s="36">
        <f>IF(Meeuwen1!U5=(""),(""),ROUND(Meeuwen1!U5/Meeuwen1!$T5*10,3))</f>
        <v>15.555999999999999</v>
      </c>
      <c r="S40" s="36" t="str">
        <f>IF(Meeuwen1!V5=(""),(""),ROUND(Meeuwen1!V5/Meeuwen1!$T5*10,3))</f>
        <v/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8</v>
      </c>
      <c r="B41" s="28" t="str">
        <f>Meeuwen1!A6</f>
        <v xml:space="preserve">Bocken Lambert  </v>
      </c>
      <c r="C41" s="32">
        <f>IF(Meeuwen1!AL6=0," ",SUM(E41:AD41))</f>
        <v>70.356999999999999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>
        <f>IF(Meeuwen1!U6=(""),(""),ROUND(Meeuwen1!U6/Meeuwen1!$T6*10,3))</f>
        <v>8.2140000000000004</v>
      </c>
      <c r="S41" s="36" t="str">
        <f>IF(Meeuwen1!V6=(""),(""),ROUND(Meeuwen1!V6/Meeuwen1!$T6*10,3))</f>
        <v/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9</v>
      </c>
      <c r="B42" s="28" t="str">
        <f>Meeuwen1!A7</f>
        <v>Goetschalkx Herman</v>
      </c>
      <c r="C42" s="32">
        <f>IF(Meeuwen1!AL7=0," ",SUM(E42:AD42))</f>
        <v>63.334000000000003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>
        <f>IF(Meeuwen1!O7=(""),(""),ROUND(Meeuwen1!O7/Meeuwen1!$B7*10,3))</f>
        <v>8</v>
      </c>
      <c r="R42" s="36" t="str">
        <f>IF(Meeuwen1!U7=(""),(""),ROUND(Meeuwen1!U7/Meeuwen1!$T7*10,3))</f>
        <v/>
      </c>
      <c r="S42" s="36" t="str">
        <f>IF(Meeuwen1!V7=(""),(""),ROUND(Meeuwen1!V7/Meeuwen1!$T7*10,3))</f>
        <v/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5</v>
      </c>
      <c r="B44" s="28" t="str">
        <f>Meeuwen1!A9</f>
        <v>Meeusen Marc</v>
      </c>
      <c r="C44" s="32">
        <f>IF(Meeuwen1!AL9=0," ",SUM(E44:AD44))</f>
        <v>41.199999999999996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>
        <f>IF(Meeuwen1!U9=(""),(""),ROUND(Meeuwen1!U9/Meeuwen1!$T9*10,3))</f>
        <v>9.76</v>
      </c>
      <c r="S44" s="36" t="str">
        <f>IF(Meeuwen1!V9=(""),(""),ROUND(Meeuwen1!V9/Meeuwen1!$T9*10,3))</f>
        <v/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8</v>
      </c>
      <c r="B45" s="28" t="str">
        <f>Meeuwen1!A10</f>
        <v>Van Loon Marc</v>
      </c>
      <c r="C45" s="32">
        <f>IF(Meeuwen1!AL10=0," ",SUM(E45:AD45))</f>
        <v>84.667000000000002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>
        <f>IF(Meeuwen1!U10=(""),(""),ROUND(Meeuwen1!U10/Meeuwen1!$T10*10,3))</f>
        <v>14.667</v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5</v>
      </c>
      <c r="B46" s="28" t="str">
        <f>Meeuwen1!A11</f>
        <v>Van Zoest Teun</v>
      </c>
      <c r="C46" s="32">
        <f>IF(Meeuwen1!AL11=0," ",SUM(E46:AD46))</f>
        <v>42.499000000000002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>
        <f>IF(Meeuwen1!O11=(""),(""),ROUND(Meeuwen1!O11/Meeuwen1!$B11*10,3))</f>
        <v>5.8330000000000002</v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8</v>
      </c>
      <c r="B47" s="28" t="str">
        <f>Meeuwen1!A12</f>
        <v>Veraart Jos</v>
      </c>
      <c r="C47" s="32">
        <f>IF(Meeuwen1!AL12=0," ",SUM(E47:AD47))</f>
        <v>55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>
        <f>IF(Meeuwen1!U12=(""),(""),ROUND(Meeuwen1!U12/Meeuwen1!$T12*10,3))</f>
        <v>8.125</v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8</v>
      </c>
      <c r="B48" s="80" t="str">
        <f>Meeuwen1!A13</f>
        <v>Vossen Filip</v>
      </c>
      <c r="C48" s="32">
        <f>IF(Meeuwen1!AL13=0," ",SUM(E48:AD48))</f>
        <v>89.375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>
        <f>IF(Meeuwen1!O13=(""),(""),ROUND(Meeuwen1!O13/Meeuwen1!$B13*10,3))</f>
        <v>11.25</v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10</v>
      </c>
      <c r="B49" s="38" t="str">
        <f>Meeuwen1!A14</f>
        <v>Vossen Ronny  [NS 20]</v>
      </c>
      <c r="C49" s="32">
        <f>IF(Meeuwen1!AL14=0," ",SUM(E49:AD49))</f>
        <v>79.834000000000003</v>
      </c>
      <c r="E49" s="265">
        <f>IF(Meeuwen1!C14=(""),(""),ROUND(Meeuwen1!C14/20*10,3))</f>
        <v>11</v>
      </c>
      <c r="F49" s="265">
        <f>IF(Meeuwen1!D14=(""),(""),ROUND(Meeuwen1!D14/20*10,3))</f>
        <v>5</v>
      </c>
      <c r="G49" s="265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>
        <f>IF(Meeuwen1!O14=(""),(""),ROUND(Meeuwen1!O14/Meeuwen1!$B14*10,3))</f>
        <v>8.6669999999999998</v>
      </c>
      <c r="R49" s="36" t="str">
        <f>IF(Meeuwen1!U14=(""),(""),ROUND(Meeuwen1!U14/Meeuwen1!$T14*10,3))</f>
        <v/>
      </c>
      <c r="S49" s="36" t="str">
        <f>IF(Meeuwen1!V14=(""),(""),ROUND(Meeuwen1!V14/Meeuwen1!$T14*10,3))</f>
        <v/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6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>
        <f t="shared" si="32"/>
        <v>51.216000000000001</v>
      </c>
      <c r="R50" s="36">
        <f t="shared" si="32"/>
        <v>67.884999999999991</v>
      </c>
      <c r="S50" s="36" t="str">
        <f t="shared" si="32"/>
        <v xml:space="preserve"> 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734.78700000000003</v>
      </c>
      <c r="D51" s="223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>
        <f t="shared" si="33"/>
        <v>666.90200000000004</v>
      </c>
      <c r="R51" s="40">
        <f t="shared" si="33"/>
        <v>734.78700000000003</v>
      </c>
      <c r="S51" s="40" t="str">
        <f t="shared" si="33"/>
        <v xml:space="preserve"> 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67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6</v>
      </c>
      <c r="B54" s="28" t="str">
        <f>Meeuwen2!A4</f>
        <v>Brouwers Gerard</v>
      </c>
      <c r="C54" s="32">
        <f>IF(Meeuwen2!AL4=0," ",SUM(E54:AD54))</f>
        <v>45.334000000000003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>
        <f>IF(Meeuwen2!O4=(""),(""),ROUND(Meeuwen2!O4/Meeuwen2!$B4*10,3))</f>
        <v>8.6669999999999998</v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11</v>
      </c>
      <c r="B55" s="28" t="str">
        <f>Meeuwen2!A5</f>
        <v>De Backer Jerome</v>
      </c>
      <c r="C55" s="32">
        <f>IF(Meeuwen2!AL5=0," ",SUM(E55:AD55))</f>
        <v>133.94800000000001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>
        <f>IF(Meeuwen2!O5=(""),(""),ROUND(Meeuwen2!O5/Meeuwen2!$B5*10,3))</f>
        <v>11.579000000000001</v>
      </c>
      <c r="R55" s="36">
        <f>IF(Meeuwen2!U5=(""),(""),ROUND(Meeuwen2!U5/Meeuwen2!$T5*10,3))</f>
        <v>14.211</v>
      </c>
      <c r="S55" s="36" t="str">
        <f>IF(Meeuwen2!V5=(""),(""),ROUND(Meeuwen2!V5/Meeuwen2!$T5*10,3))</f>
        <v/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2</v>
      </c>
      <c r="B56" s="80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8</v>
      </c>
      <c r="B57" s="28" t="str">
        <f>Meeuwen2!A7</f>
        <v xml:space="preserve">Jacobs Hugo            </v>
      </c>
      <c r="C57" s="32">
        <f>IF(Meeuwen2!AL7=0," ",SUM(E57:AD57))</f>
        <v>76.765000000000001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>
        <f>IF(Meeuwen2!U7=(""),(""),ROUND(Meeuwen2!U7/Meeuwen2!$T7*10,3))</f>
        <v>8.8239999999999998</v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6</v>
      </c>
      <c r="B58" s="28" t="str">
        <f>Meeuwen2!A8</f>
        <v>Jacobs Willy</v>
      </c>
      <c r="C58" s="32">
        <f>IF(Meeuwen2!AL8=0," ",SUM(E58:AD58))</f>
        <v>47.875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>
        <f>IF(Meeuwen2!U8=(""),(""),ROUND(Meeuwen2!U8/Meeuwen2!$T8*10,3))</f>
        <v>7.125</v>
      </c>
      <c r="S58" s="36" t="str">
        <f>IF(Meeuwen2!V8=(""),(""),ROUND(Meeuwen2!V8/Meeuwen2!$T8*10,3))</f>
        <v/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10</v>
      </c>
      <c r="B61" s="28" t="str">
        <f>Meeuwen2!A11</f>
        <v xml:space="preserve">Present Fons </v>
      </c>
      <c r="C61" s="32">
        <f>IF(Meeuwen2!AL11=0," ",SUM(E61:AD61))</f>
        <v>114.09200000000003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>
        <f>IF(Meeuwen2!O11=(""),(""),ROUND(Meeuwen2!O11/Meeuwen2!$B11*10,3))</f>
        <v>12.727</v>
      </c>
      <c r="R61" s="36">
        <f>IF(Meeuwen2!U11=(""),(""),ROUND(Meeuwen2!U11/Meeuwen2!$T11*10,3))</f>
        <v>11.364000000000001</v>
      </c>
      <c r="S61" s="36" t="str">
        <f>IF(Meeuwen2!V11=(""),(""),ROUND(Meeuwen2!V11/Meeuwen2!$T11*10,3))</f>
        <v/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4</v>
      </c>
      <c r="B62" s="38" t="str">
        <f>Meeuwen2!A12</f>
        <v>Present Marc [NS 20]</v>
      </c>
      <c r="C62" s="32">
        <f>IF(Meeuwen2!AL12=0," ",SUM(E62:AD62))</f>
        <v>44.864000000000004</v>
      </c>
      <c r="E62" s="265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65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65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 t="str">
        <f>IF(Meeuwen2!V12=(""),(""),ROUND(Meeuwen2!V12/Meeuwen2!$T12*10,3))</f>
        <v/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9</v>
      </c>
      <c r="B63" s="28" t="str">
        <f>Meeuwen2!A13</f>
        <v>Suykerbuyk Stan</v>
      </c>
      <c r="C63" s="32">
        <f>IF(Meeuwen2!AL13=0," ",SUM(E63:AD63))</f>
        <v>105.151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>
        <f>IF(Meeuwen2!O13=(""),(""),ROUND(Meeuwen2!O13/Meeuwen2!$B13*10,3))</f>
        <v>13.333</v>
      </c>
      <c r="R63" s="36">
        <f>IF(Meeuwen2!U13=(""),(""),ROUND(Meeuwen2!U13/Meeuwen2!$T13*10,3))</f>
        <v>10.606</v>
      </c>
      <c r="S63" s="36" t="str">
        <f>IF(Meeuwen2!V13=(""),(""),ROUND(Meeuwen2!V13/Meeuwen2!$T13*10,3))</f>
        <v/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9</v>
      </c>
      <c r="B64" s="28" t="str">
        <f>Meeuwen2!A14</f>
        <v xml:space="preserve">Vandersanden Lucien </v>
      </c>
      <c r="C64" s="32">
        <f>IF(Meeuwen2!AL14=0," ",SUM(E64:AD64))</f>
        <v>82.82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>
        <f>IF(Meeuwen2!O14=(""),(""),ROUND(Meeuwen2!O14/Meeuwen2!$B14*10,3))</f>
        <v>9.4870000000000001</v>
      </c>
      <c r="R64" s="36" t="str">
        <f>IF(Meeuwen2!U14=(""),(""),ROUND(Meeuwen2!U14/Meeuwen2!$T14*10,3))</f>
        <v/>
      </c>
      <c r="S64" s="36" t="str">
        <f>IF(Meeuwen2!V14=(""),(""),ROUND(Meeuwen2!V14/Meeuwen2!$T14*10,3))</f>
        <v/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7</v>
      </c>
      <c r="B65" s="28" t="str">
        <f>Meeuwen2!A15</f>
        <v>Van Dorst Alfons</v>
      </c>
      <c r="C65" s="32">
        <f>IF(Meeuwen2!AL15=0," ",SUM(E65:AD65))</f>
        <v>72.203000000000003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>
        <f>IF(Meeuwen2!U15=(""),(""),ROUND(Meeuwen2!U15/Meeuwen2!$T15*10,3))</f>
        <v>8.8140000000000001</v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10</v>
      </c>
      <c r="B66" s="28" t="str">
        <f>Meeuwen2!A16</f>
        <v xml:space="preserve">Van Thillo Sis   </v>
      </c>
      <c r="C66" s="32">
        <f>IF(Meeuwen2!AL16=0," ",SUM(E66:AD66))</f>
        <v>99.064999999999998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>
        <f>IF(Meeuwen2!O16=(""),(""),ROUND(Meeuwen2!O16/Meeuwen2!$B16*10,3))</f>
        <v>10</v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6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>
        <f t="shared" si="35"/>
        <v>65.793000000000006</v>
      </c>
      <c r="R67" s="36">
        <f t="shared" si="35"/>
        <v>60.944000000000003</v>
      </c>
      <c r="S67" s="36" t="str">
        <f t="shared" si="35"/>
        <v xml:space="preserve"> 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857.50500000000011</v>
      </c>
      <c r="D68" s="261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>
        <f t="shared" si="36"/>
        <v>796.56100000000004</v>
      </c>
      <c r="R68" s="40">
        <f t="shared" si="36"/>
        <v>857.505</v>
      </c>
      <c r="S68" s="40" t="str">
        <f t="shared" si="36"/>
        <v xml:space="preserve"> 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6</v>
      </c>
      <c r="B71" s="28" t="str">
        <f>Molenheike!A4</f>
        <v xml:space="preserve">Brauns Martin    </v>
      </c>
      <c r="C71" s="32">
        <f>IF(Molenheike!AL4=0," ",SUM(E71:AD71))</f>
        <v>55.789000000000001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 t="str">
        <f>IF(Molenheike!V4=(""),(""),ROUND(Molenheike!V4/Molenheike!$T4*10,3))</f>
        <v/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10</v>
      </c>
      <c r="B72" s="28" t="str">
        <f>Molenheike!A5</f>
        <v>Brosens Luc</v>
      </c>
      <c r="C72" s="32">
        <f>IF(Molenheike!AL5=0," ",SUM(E72:AD72))</f>
        <v>96.551999999999992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>
        <f>IF(Molenheike!O5=(""),(""),ROUND(Molenheike!O5/Molenheike!$B5*10,3))</f>
        <v>16.207000000000001</v>
      </c>
      <c r="R72" s="36">
        <f>IF(Molenheike!U5=(""),(""),ROUND(Molenheike!U5/Molenheike!$T5*10,3))</f>
        <v>9.6549999999999994</v>
      </c>
      <c r="S72" s="36" t="str">
        <f>IF(Molenheike!V5=(""),(""),ROUND(Molenheike!V5/Molenheike!$T5*10,3))</f>
        <v/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11</v>
      </c>
      <c r="B73" s="80" t="str">
        <f>Molenheike!A6</f>
        <v>Dhooghe Jan</v>
      </c>
      <c r="C73" s="32">
        <f>IF(Molenheike!AL6=0," ",SUM(E73:AD73))</f>
        <v>113.334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>
        <f>IF(Molenheike!O6=(""),(""),ROUND(Molenheike!O6/Molenheike!$B6*10,3))</f>
        <v>7.0369999999999999</v>
      </c>
      <c r="R73" s="36">
        <f>IF(Molenheike!U6=(""),(""),ROUND(Molenheike!U6/Molenheike!$T6*10,3))</f>
        <v>10.741</v>
      </c>
      <c r="S73" s="36" t="str">
        <f>IF(Molenheike!V6=(""),(""),ROUND(Molenheike!V6/Molenheike!$T6*10,3))</f>
        <v/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10</v>
      </c>
      <c r="B74" s="28" t="str">
        <f>Molenheike!A7</f>
        <v>Keuppens Marc</v>
      </c>
      <c r="C74" s="32">
        <f>IF(Molenheike!AL7=0," ",SUM(E74:AD74))</f>
        <v>117.66800000000001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>
        <f>IF(Molenheike!O7=(""),(""),ROUND(Molenheike!O7/Molenheike!$B7*10,3))</f>
        <v>9</v>
      </c>
      <c r="R74" s="36">
        <f>IF(Molenheike!U7=(""),(""),ROUND(Molenheike!U7/Molenheike!$T7*10,3))</f>
        <v>12.667</v>
      </c>
      <c r="S74" s="36" t="str">
        <f>IF(Molenheike!V7=(""),(""),ROUND(Molenheike!V7/Molenheike!$T7*10,3))</f>
        <v/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9</v>
      </c>
      <c r="B75" s="28" t="str">
        <f>Molenheike!A8</f>
        <v>Lambrechts Ferdy</v>
      </c>
      <c r="C75" s="32">
        <f>IF(Molenheike!AL8=0," ",SUM(E75:AD75))</f>
        <v>93.584999999999994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>
        <f>IF(Molenheike!U8=(""),(""),ROUND(Molenheike!U8/Molenheike!$T8*10,3))</f>
        <v>14.528</v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8</v>
      </c>
      <c r="B76" s="28" t="str">
        <f>Molenheike!A9</f>
        <v>Nelen Marc</v>
      </c>
      <c r="C76" s="32">
        <f>IF(Molenheike!AL9=0," ",SUM(E76:AD76))</f>
        <v>72.082999999999998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>
        <f>IF(Molenheike!O9=(""),(""),ROUND(Molenheike!O9/Molenheike!$B9*10,3))</f>
        <v>19.582999999999998</v>
      </c>
      <c r="R76" s="36">
        <f>IF(Molenheike!U9=(""),(""),ROUND(Molenheike!U9/Molenheike!$T9*10,3))</f>
        <v>10.833</v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12</v>
      </c>
      <c r="B78" s="28" t="str">
        <f>Molenheike!A11</f>
        <v>Van Ginderen Jef</v>
      </c>
      <c r="C78" s="32">
        <f>IF(Molenheike!AL11=0," ",SUM(E78:AD78))</f>
        <v>130.74100000000001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>
        <f>IF(Molenheike!O11=(""),(""),ROUND(Molenheike!O11/Molenheike!$B11*10,3))</f>
        <v>19.074000000000002</v>
      </c>
      <c r="R78" s="36">
        <f>IF(Molenheike!U11=(""),(""),ROUND(Molenheike!U11/Molenheike!$T11*10,3))</f>
        <v>10.37</v>
      </c>
      <c r="S78" s="36" t="str">
        <f>IF(Molenheike!V11=(""),(""),ROUND(Molenheike!V11/Molenheike!$T11*10,3))</f>
        <v/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10</v>
      </c>
      <c r="B79" s="28" t="str">
        <f>Molenheike!A12</f>
        <v>Van Ginderen Willy</v>
      </c>
      <c r="C79" s="32">
        <f>IF(Molenheike!AL12=0," ",SUM(E79:AD79))</f>
        <v>97.02600000000001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>
        <f>IF(Molenheike!O12=(""),(""),ROUND(Molenheike!O12/Molenheike!$B12*10,3))</f>
        <v>11.081</v>
      </c>
      <c r="R79" s="36" t="str">
        <f>IF(Molenheike!U12=(""),(""),ROUND(Molenheike!U12/Molenheike!$T12*10,3))</f>
        <v/>
      </c>
      <c r="S79" s="36" t="str">
        <f>IF(Molenheike!V12=(""),(""),ROUND(Molenheike!V12/Molenheike!$T12*10,3))</f>
        <v/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5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>
        <f t="shared" si="39"/>
        <v>81.981999999999999</v>
      </c>
      <c r="R80" s="36">
        <f t="shared" si="39"/>
        <v>68.793999999999997</v>
      </c>
      <c r="S80" s="36" t="str">
        <f t="shared" si="39"/>
        <v xml:space="preserve"> 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855.52800000000002</v>
      </c>
      <c r="D81" s="223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>
        <f t="shared" si="40"/>
        <v>786.73400000000004</v>
      </c>
      <c r="R81" s="40">
        <f t="shared" si="40"/>
        <v>855.52800000000002</v>
      </c>
      <c r="S81" s="40" t="str">
        <f t="shared" si="40"/>
        <v xml:space="preserve"> 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B83" s="31" t="s">
        <v>27</v>
      </c>
      <c r="E83" s="27">
        <v>1</v>
      </c>
      <c r="F83" s="27">
        <v>2</v>
      </c>
      <c r="G83" s="27">
        <v>3</v>
      </c>
      <c r="H83" s="267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13</v>
      </c>
      <c r="B84" s="28" t="str">
        <f>Nispen!A4</f>
        <v>Bastiaensen Jan</v>
      </c>
      <c r="C84" s="32">
        <f>IF(Nispen!AL4=0," ",SUM(E84:AD84))</f>
        <v>129.999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69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>
        <f>IF(Nispen!O4=(""),(""),ROUND(Nispen!O4/Nispen!$B4*10,3))</f>
        <v>8.7100000000000009</v>
      </c>
      <c r="R84" s="36">
        <f>IF(Nispen!U4=(""),(""),ROUND(Nispen!U4/Nispen!$T4*10,3))</f>
        <v>7.0970000000000004</v>
      </c>
      <c r="S84" s="36" t="str">
        <f>IF(Nispen!V4=(""),(""),ROUND(Nispen!V4/Nispen!$T4*10,3))</f>
        <v/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9</v>
      </c>
      <c r="B85" s="28" t="str">
        <f>Nispen!A5</f>
        <v>Botermans Jan</v>
      </c>
      <c r="C85" s="32">
        <f>IF(Nispen!AL5=0," ",SUM(E85:AD85))</f>
        <v>72.917000000000002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69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>
        <f>IF(Nispen!O5=(""),(""),ROUND(Nispen!O5/Nispen!$B5*10,3))</f>
        <v>5.4169999999999998</v>
      </c>
      <c r="R85" s="36" t="str">
        <f>IF(Nispen!U5=(""),(""),ROUND(Nispen!U5/Nispen!$T5*10,3))</f>
        <v/>
      </c>
      <c r="S85" s="36" t="str">
        <f>IF(Nispen!V5=(""),(""),ROUND(Nispen!V5/Nispen!$T5*10,3))</f>
        <v/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13</v>
      </c>
      <c r="B86" s="28" t="str">
        <f>Nispen!A6</f>
        <v>Brouwers Vic</v>
      </c>
      <c r="C86" s="32">
        <f>IF(Nispen!AL6=0," ",SUM(E86:AD86))</f>
        <v>144.411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>
        <f>IF(Nispen!O6=(""),(""),ROUND(Nispen!O6/Nispen!$B6*10,3))</f>
        <v>15.441000000000001</v>
      </c>
      <c r="R86" s="36">
        <f>IF(Nispen!U6=(""),(""),ROUND(Nispen!U6/Nispen!$T6*10,3))</f>
        <v>12.5</v>
      </c>
      <c r="S86" s="36" t="str">
        <f>IF(Nispen!V6=(""),(""),ROUND(Nispen!V6/Nispen!$T6*10,3))</f>
        <v/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7</v>
      </c>
      <c r="B87" s="80" t="str">
        <f>Nispen!A7</f>
        <v>Cappaert Ivan</v>
      </c>
      <c r="C87" s="32">
        <f>IF(Nispen!AL7=0," ",SUM(E87:AD87))</f>
        <v>74.570999999999998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>
        <f>IF(Nispen!O7=(""),(""),ROUND(Nispen!O7/Nispen!$B7*10,3))</f>
        <v>10</v>
      </c>
      <c r="R87" s="36">
        <f>IF(Nispen!U7=(""),(""),ROUND(Nispen!U7/Nispen!$T7*10,3))</f>
        <v>13.714</v>
      </c>
      <c r="S87" s="36" t="str">
        <f>IF(Nispen!V7=(""),(""),ROUND(Nispen!V7/Nispen!$T7*10,3))</f>
        <v/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9</v>
      </c>
      <c r="B88" s="28" t="str">
        <f>Nispen!A8</f>
        <v xml:space="preserve">Kerstens Jac     </v>
      </c>
      <c r="C88" s="32">
        <f>IF(Nispen!AL8=0," ",SUM(E88:AD88))</f>
        <v>86.570999999999998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69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69">
        <f>IF(Nispen!L8=(""),(""),ROUND(Nispen!L8/Nispen!$B8*10,3))</f>
        <v>12.856999999999999</v>
      </c>
      <c r="O88" s="269" t="str">
        <f>IF(Nispen!M8=(""),(""),ROUND(Nispen!M8/Nispen!$B8*10,3))</f>
        <v/>
      </c>
      <c r="P88" s="36">
        <f>IF(Nispen!N8=(""),(""),ROUND(Nispen!N8/Nispen!$B8*10,3))</f>
        <v>7.1429999999999998</v>
      </c>
      <c r="Q88" s="36">
        <f>IF(Nispen!O8=(""),(""),ROUND(Nispen!O8/Nispen!$B8*10,3))</f>
        <v>6.5709999999999997</v>
      </c>
      <c r="R88" s="36">
        <f>IF(Nispen!U8=(""),(""),ROUND(Nispen!U8/Nispen!$T8*10,3))</f>
        <v>15.714</v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5</v>
      </c>
      <c r="B89" s="38" t="str">
        <f>Nispen!A9</f>
        <v>Klijn Toon [NS 20]</v>
      </c>
      <c r="C89" s="32">
        <f>IF(Nispen!AL9=0," ",SUM(E89:AD89))</f>
        <v>43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65">
        <f>IF(Nispen!E9=(""),(""),ROUND(Nispen!E9/20*10,3))</f>
        <v>12</v>
      </c>
      <c r="H89" s="265">
        <f>IF(Nispen!F9=(""),(""),ROUND(Nispen!F9/20*10,3))</f>
        <v>11</v>
      </c>
      <c r="I89" s="36" t="str">
        <f>IF(Nispen!G9=(""),(""),ROUND(Nispen!G9/Nispen!$B9*10,3))</f>
        <v/>
      </c>
      <c r="J89" s="265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>
        <f>IF(Nispen!U9=(""),(""),ROUND(Nispen!U9/Nispen!$T9*10,3))</f>
        <v>2.5</v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11</v>
      </c>
      <c r="B90" s="34" t="str">
        <f>Nispen!A10</f>
        <v>Martens Gerrit [OS]</v>
      </c>
      <c r="C90" s="32">
        <f>IF(Nispen!AL10=0," ",SUM(E90:AD90))</f>
        <v>115.33199999999999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69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>
        <f>IF(Nispen!O10=(""),(""),ROUND(Nispen!O10/Nispen!$B10*10,3))</f>
        <v>10</v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6</v>
      </c>
      <c r="B92" s="28" t="str">
        <f>Nispen!A12</f>
        <v xml:space="preserve">Raats Antoon </v>
      </c>
      <c r="C92" s="32">
        <f>IF(Nispen!AL12=0," ",SUM(E92:AD92))</f>
        <v>51.579999999999991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 t="str">
        <f>IF(Nispen!V12=(""),(""),ROUND(Nispen!V12/Nispen!$T12*10,3))</f>
        <v/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9</v>
      </c>
      <c r="B93" s="28" t="str">
        <f>Nispen!A13</f>
        <v>Uijdehaag Nico</v>
      </c>
      <c r="C93" s="32">
        <f>IF(Nispen!AL13=0," ",SUM(E93:AD93))</f>
        <v>91.739000000000004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69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>
        <f>IF(Nispen!U13=(""),(""),ROUND(Nispen!U13/Nispen!$T13*10,3))</f>
        <v>12.173999999999999</v>
      </c>
      <c r="S93" s="36" t="str">
        <f>IF(Nispen!V13=(""),(""),ROUND(Nispen!V13/Nispen!$T13*10,3))</f>
        <v/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5" t="s">
        <v>290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>
        <f t="shared" si="46"/>
        <v>56.138999999999996</v>
      </c>
      <c r="R94" s="36">
        <f t="shared" si="46"/>
        <v>63.698999999999998</v>
      </c>
      <c r="S94" s="36" t="str">
        <f t="shared" ref="S94:AD94" si="47">IF(SUM(S84:S93)=0,(" "),SUM(S84:S93))</f>
        <v xml:space="preserve"> 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829.16800000000012</v>
      </c>
      <c r="D95" s="215" t="s">
        <v>290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>
        <f t="shared" ref="Q95:R95" si="58">IF(Q94=(" "),(" "),P95+Q94)</f>
        <v>765.46899999999994</v>
      </c>
      <c r="R95" s="40">
        <f t="shared" si="58"/>
        <v>829.16799999999989</v>
      </c>
      <c r="S95" s="40" t="str">
        <f t="shared" ref="S95" si="59">IF(S94=(" "),(" "),R95+S94)</f>
        <v xml:space="preserve"> 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7</v>
      </c>
      <c r="B98" s="28" t="str">
        <f>Oudeglorie!A4</f>
        <v xml:space="preserve">Aerden Carl  </v>
      </c>
      <c r="C98" s="32">
        <f>IF(Oudeglorie!AL4=0," ",SUM(E98:AD98))</f>
        <v>87.501000000000005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 t="str">
        <f>IF(Oudeglorie!V4=(""),(""),ROUND(Oudeglorie!V4/Oudeglorie!$T4*10,3))</f>
        <v/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5</v>
      </c>
      <c r="B99" s="28" t="str">
        <f>Oudeglorie!A5</f>
        <v xml:space="preserve">Beyers Jos    </v>
      </c>
      <c r="C99" s="32">
        <f>IF(Oudeglorie!AL5=0," ",SUM(E99:AD99))</f>
        <v>57.407999999999994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>
        <f>IF(Oudeglorie!O5=(""),(""),ROUND(Oudeglorie!O5/Oudeglorie!$B5*10,3))</f>
        <v>15.555999999999999</v>
      </c>
      <c r="R99" s="36" t="str">
        <f>IF(Oudeglorie!U5=(""),(""),ROUND(Oudeglorie!U5/Oudeglorie!$T5*10,3))</f>
        <v/>
      </c>
      <c r="S99" s="36" t="str">
        <f>IF(Oudeglorie!V5=(""),(""),ROUND(Oudeglorie!V5/Oudeglorie!$T5*10,3))</f>
        <v/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9</v>
      </c>
      <c r="B101" s="28" t="str">
        <f>Oudeglorie!A7</f>
        <v>Braat Guido</v>
      </c>
      <c r="C101" s="32">
        <f>IF(Oudeglorie!AL7=0," ",SUM(E101:AD101))</f>
        <v>99.998999999999995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>
        <f>IF(Oudeglorie!U7=(""),(""),ROUND(Oudeglorie!U7/Oudeglorie!$T7*10,3))</f>
        <v>15.172000000000001</v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4</v>
      </c>
      <c r="B102" s="28" t="str">
        <f>Oudeglorie!A8</f>
        <v>Cleeren Guido</v>
      </c>
      <c r="C102" s="32">
        <f>IF(Oudeglorie!AL8=0," ",SUM(E102:AD102))</f>
        <v>35.293999999999997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8</v>
      </c>
      <c r="B103" s="28" t="str">
        <f>Oudeglorie!A9</f>
        <v>Gommers Jac</v>
      </c>
      <c r="C103" s="32">
        <f>IF(Oudeglorie!AL9=0," ",SUM(E103:AD103))</f>
        <v>77.222999999999999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>
        <f>IF(Oudeglorie!O9=(""),(""),ROUND(Oudeglorie!O9/Oudeglorie!$B9*10,3))</f>
        <v>16.111000000000001</v>
      </c>
      <c r="R103" s="36">
        <f>IF(Oudeglorie!U9=(""),(""),ROUND(Oudeglorie!U9/Oudeglorie!$T9*10,3))</f>
        <v>6.1109999999999998</v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6</v>
      </c>
      <c r="B104" s="28" t="str">
        <f>Oudeglorie!A10</f>
        <v>Jacobs Alfons</v>
      </c>
      <c r="C104" s="32">
        <f>IF(Oudeglorie!AL10=0," ",SUM(E104:AD104))</f>
        <v>45.356999999999999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>
        <f>IF(Oudeglorie!O10=(""),(""),ROUND(Oudeglorie!O10/Oudeglorie!$B10*10,3))</f>
        <v>9.6430000000000007</v>
      </c>
      <c r="R104" s="36" t="str">
        <f>IF(Oudeglorie!U10=(""),(""),ROUND(Oudeglorie!U10/Oudeglorie!$T10*10,3))</f>
        <v/>
      </c>
      <c r="S104" s="36" t="str">
        <f>IF(Oudeglorie!V10=(""),(""),ROUND(Oudeglorie!V10/Oudeglorie!$T10*10,3))</f>
        <v/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6</v>
      </c>
      <c r="B105" s="28" t="str">
        <f>Oudeglorie!A11</f>
        <v>Jacobs Frans</v>
      </c>
      <c r="C105" s="32">
        <f>IF(Oudeglorie!AL11=0," ",SUM(E105:AD105))</f>
        <v>59.192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>
        <f>IF(Oudeglorie!U11=(""),(""),ROUND(Oudeglorie!U11/Oudeglorie!$T11*10,3))</f>
        <v>8.3870000000000005</v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6</v>
      </c>
      <c r="B106" s="28" t="str">
        <f>Oudeglorie!A12</f>
        <v>Nelen Frans</v>
      </c>
      <c r="C106" s="32">
        <f>IF(Oudeglorie!AL12=0," ",SUM(E106:AD106))</f>
        <v>70.8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>
        <f>IF(Oudeglorie!U12=(""),(""),ROUND(Oudeglorie!U12/Oudeglorie!$T12*10,3))</f>
        <v>15.2</v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5</v>
      </c>
      <c r="B107" s="38" t="str">
        <f>Oudeglorie!A13</f>
        <v>Nelen Jef  [NS 25]</v>
      </c>
      <c r="C107" s="32">
        <f>IF(Oudeglorie!AL13=0," ",SUM(E107:AD107))</f>
        <v>50.030999999999992</v>
      </c>
      <c r="E107" s="265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65">
        <f>IF(Oudeglorie!J13=(""),(""),ROUND(Oudeglorie!J13/25*10,3))</f>
        <v>8</v>
      </c>
      <c r="M107" s="265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 t="str">
        <f>IF(Oudeglorie!V13=(""),(""),ROUND(Oudeglorie!V13/Oudeglorie!$T13*10,3))</f>
        <v/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8</v>
      </c>
      <c r="B108" s="28" t="str">
        <f>Oudeglorie!A14</f>
        <v xml:space="preserve">Somers Ludo </v>
      </c>
      <c r="C108" s="32">
        <f>IF(Oudeglorie!AL14=0," ",SUM(E108:AD108))</f>
        <v>64.117999999999995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>
        <f>IF(Oudeglorie!O14=(""),(""),ROUND(Oudeglorie!O14/Oudeglorie!$B14*10,3))</f>
        <v>14.412000000000001</v>
      </c>
      <c r="R108" s="36">
        <f>IF(Oudeglorie!U14=(""),(""),ROUND(Oudeglorie!U14/Oudeglorie!$T14*10,3))</f>
        <v>5.2939999999999996</v>
      </c>
      <c r="S108" s="36" t="str">
        <f>IF(Oudeglorie!V14=(""),(""),ROUND(Oudeglorie!V14/Oudeglorie!$T14*10,3))</f>
        <v/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8</v>
      </c>
      <c r="B109" s="28" t="str">
        <f>Oudeglorie!A15</f>
        <v xml:space="preserve">Van Ginderen Ludo </v>
      </c>
      <c r="C109" s="32">
        <f>IF(Oudeglorie!AL15=0," ",SUM(E109:AD109))</f>
        <v>83.528999999999996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>
        <f>IF(Oudeglorie!O15=(""),(""),ROUND(Oudeglorie!O15/Oudeglorie!$B15*10,3))</f>
        <v>6.4710000000000001</v>
      </c>
      <c r="R109" s="36">
        <f>IF(Oudeglorie!U15=(""),(""),ROUND(Oudeglorie!U15/Oudeglorie!$T15*10,3))</f>
        <v>12.941000000000001</v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3</v>
      </c>
      <c r="B110" s="28" t="str">
        <f>Oudeglorie!A16</f>
        <v>Van Overvelt Ludo</v>
      </c>
      <c r="C110" s="32">
        <f>IF(Oudeglorie!AL16=0," ",SUM(E110:AD110))</f>
        <v>28.138999999999999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6</v>
      </c>
      <c r="B111" s="28" t="str">
        <f>Oudeglorie!A17</f>
        <v>Willemsen Willy</v>
      </c>
      <c r="C111" s="32">
        <f>IF(Oudeglorie!AL17=0," ",SUM(E111:AD111))</f>
        <v>70.271000000000001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>
        <f>IF(Oudeglorie!O17=(""),(""),ROUND(Oudeglorie!O17/Oudeglorie!$B17*10,3))</f>
        <v>11.081</v>
      </c>
      <c r="R111" s="36" t="str">
        <f>IF(Oudeglorie!U17=(""),(""),ROUND(Oudeglorie!U17/Oudeglorie!$T17*10,3))</f>
        <v/>
      </c>
      <c r="S111" s="36" t="str">
        <f>IF(Oudeglorie!V17=(""),(""),ROUND(Oudeglorie!V17/Oudeglorie!$T17*10,3))</f>
        <v/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5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>
        <f t="shared" si="73"/>
        <v>73.274000000000001</v>
      </c>
      <c r="R112" s="36">
        <f t="shared" si="73"/>
        <v>63.105000000000004</v>
      </c>
      <c r="S112" s="36" t="str">
        <f t="shared" si="73"/>
        <v xml:space="preserve"> 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855.67399999999986</v>
      </c>
      <c r="D113" s="223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>
        <f t="shared" si="74"/>
        <v>792.56900000000007</v>
      </c>
      <c r="R113" s="40">
        <f t="shared" si="74"/>
        <v>855.67400000000009</v>
      </c>
      <c r="S113" s="40" t="str">
        <f t="shared" si="74"/>
        <v xml:space="preserve"> 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6</v>
      </c>
      <c r="B116" s="28" t="str">
        <f>Meeuwkes!A4</f>
        <v>Bove René</v>
      </c>
      <c r="C116" s="32">
        <f>IF(Meeuwkes!AL4=0," ",SUM(E116:AD116))</f>
        <v>82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6</v>
      </c>
      <c r="B117" s="28" t="str">
        <f>Meeuwkes!A5</f>
        <v>Buggenhout Danny</v>
      </c>
      <c r="C117" s="32">
        <f>IF(Meeuwkes!AL5=0," ",SUM(E117:AD117))</f>
        <v>54.878999999999998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>
        <f>IF(Meeuwkes!O5=(""),(""),ROUND(Meeuwkes!O5/Meeuwkes!$B5*10,3))</f>
        <v>7.8049999999999997</v>
      </c>
      <c r="R117" s="36" t="str">
        <f>IF(Meeuwkes!U5=(""),(""),ROUND(Meeuwkes!U5/Meeuwkes!$T5*10,3))</f>
        <v/>
      </c>
      <c r="S117" s="36" t="str">
        <f>IF(Meeuwkes!V5=(""),(""),ROUND(Meeuwkes!V5/Meeuwkes!$T5*10,3))</f>
        <v/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5</v>
      </c>
      <c r="B118" s="28" t="str">
        <f>Meeuwkes!A6</f>
        <v>Deckx Achiel</v>
      </c>
      <c r="C118" s="32">
        <f>IF(Meeuwkes!AL6=0," ",SUM(E118:AD118))</f>
        <v>52.105000000000004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>
        <f>IF(Meeuwkes!O6=(""),(""),ROUND(Meeuwkes!O6/Meeuwkes!$B6*10,3))</f>
        <v>9.7370000000000001</v>
      </c>
      <c r="R118" s="36" t="str">
        <f>IF(Meeuwkes!U6=(""),(""),ROUND(Meeuwkes!U6/Meeuwkes!$T6*10,3))</f>
        <v/>
      </c>
      <c r="S118" s="36" t="str">
        <f>IF(Meeuwkes!V6=(""),(""),ROUND(Meeuwkes!V6/Meeuwkes!$T6*10,3))</f>
        <v/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12</v>
      </c>
      <c r="B119" s="28" t="str">
        <f>Meeuwkes!A7</f>
        <v>Herreygers Leon</v>
      </c>
      <c r="C119" s="32">
        <f>IF(Meeuwkes!AL7=0," ",SUM(E119:AD119))</f>
        <v>138.4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>
        <f>IF(Meeuwkes!O7=(""),(""),ROUND(Meeuwkes!O7/Meeuwkes!$B7*10,3))</f>
        <v>13.2</v>
      </c>
      <c r="R119" s="36">
        <f>IF(Meeuwkes!U7=(""),(""),ROUND(Meeuwkes!U7/Meeuwkes!$T7*10,3))</f>
        <v>12</v>
      </c>
      <c r="S119" s="36" t="str">
        <f>IF(Meeuwkes!V7=(""),(""),ROUND(Meeuwkes!V7/Meeuwkes!$T7*10,3))</f>
        <v/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9</v>
      </c>
      <c r="B120" s="28" t="str">
        <f>Meeuwkes!A8</f>
        <v>Loos Piet</v>
      </c>
      <c r="C120" s="32">
        <f>IF(Meeuwkes!AL8=0," ",SUM(E120:AD120))</f>
        <v>64.667000000000002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>
        <f>IF(Meeuwkes!O8=(""),(""),ROUND(Meeuwkes!O8/Meeuwkes!$B8*10,3))</f>
        <v>11.333</v>
      </c>
      <c r="R120" s="36">
        <f>IF(Meeuwkes!U8=(""),(""),ROUND(Meeuwkes!U8/Meeuwkes!$T8*10,3))</f>
        <v>7.3330000000000002</v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9</v>
      </c>
      <c r="B121" s="80" t="str">
        <f>Meeuwkes!A9</f>
        <v xml:space="preserve">Quick Louis </v>
      </c>
      <c r="C121" s="32">
        <f>IF(Meeuwkes!AL9=0," ",SUM(E121:AD121))</f>
        <v>100.002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>
        <f>IF(Meeuwkes!U9=(""),(""),ROUND(Meeuwkes!U9/Meeuwkes!$T9*10,3))</f>
        <v>14.103</v>
      </c>
      <c r="S121" s="36" t="str">
        <f>IF(Meeuwkes!V9=(""),(""),ROUND(Meeuwkes!V9/Meeuwkes!$T9*10,3))</f>
        <v/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6</v>
      </c>
      <c r="B122" s="28" t="str">
        <f>Meeuwkes!A10</f>
        <v>Reyssens Martin</v>
      </c>
      <c r="C122" s="32">
        <f>IF(Meeuwkes!AL10=0," ",SUM(E122:AD122))</f>
        <v>65.652999999999992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>
        <f>IF(Meeuwkes!U10=(""),(""),ROUND(Meeuwkes!U10/Meeuwkes!$T10*10,3))</f>
        <v>14.782999999999999</v>
      </c>
      <c r="S122" s="36" t="str">
        <f>IF(Meeuwkes!V10=(""),(""),ROUND(Meeuwkes!V10/Meeuwkes!$T10*10,3))</f>
        <v/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8</v>
      </c>
      <c r="B123" s="28" t="str">
        <f>Meeuwkes!A11</f>
        <v xml:space="preserve">Schenk André </v>
      </c>
      <c r="C123" s="32">
        <f>IF(Meeuwkes!AL11=0," ",SUM(E123:AD123))</f>
        <v>102.65700000000001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>
        <f>IF(Meeuwkes!O11=(""),(""),ROUND(Meeuwkes!O11/Meeuwkes!$B11*10,3))</f>
        <v>10.468999999999999</v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3</v>
      </c>
      <c r="B124" s="28" t="str">
        <f>Meeuwkes!A12</f>
        <v>Van Doren Hugo</v>
      </c>
      <c r="C124" s="32">
        <f>IF(Meeuwkes!AL12=0," ",SUM(E124:AD124))</f>
        <v>23.207000000000001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>
        <f>IF(Meeuwkes!U12=(""),(""),ROUND(Meeuwkes!U12/Meeuwkes!$T12*10,3))</f>
        <v>7.7359999999999998</v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8</v>
      </c>
      <c r="B125" s="28" t="str">
        <f>Meeuwkes!A13</f>
        <v xml:space="preserve">De Roomer Jan    </v>
      </c>
      <c r="C125" s="32">
        <f>IF(Meeuwkes!AL13=0," ",SUM(E125:AD125))</f>
        <v>75.186999999999998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>
        <f>IF(Meeuwkes!U13=(""),(""),ROUND(Meeuwkes!U13/Meeuwkes!$T13*10,3))</f>
        <v>12.593</v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4</v>
      </c>
      <c r="B126" s="28" t="str">
        <f>Meeuwkes!A14</f>
        <v>Van Hees Eduard</v>
      </c>
      <c r="C126" s="32">
        <f>IF(Meeuwkes!AL14=0," ",SUM(E126:AD126))</f>
        <v>33.667000000000002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 t="str">
        <f>IF(Meeuwkes!V14=(""),(""),ROUND(Meeuwkes!V14/Meeuwkes!$T14*10,3))</f>
        <v/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8</v>
      </c>
      <c r="B127" s="28" t="str">
        <f>Meeuwkes!A15</f>
        <v xml:space="preserve">Schenk Stanny  </v>
      </c>
      <c r="C127" s="32">
        <f>IF(Meeuwkes!AL15=0," ",SUM(E127:AD127))</f>
        <v>73.75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>
        <f>IF(Meeuwkes!O15=(""),(""),ROUND(Meeuwkes!O15/Meeuwkes!$B15*10,3))</f>
        <v>11.875</v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5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>
        <f t="shared" si="77"/>
        <v>64.419000000000011</v>
      </c>
      <c r="R128" s="36">
        <f>IF(SUM(R116:R127)=0,(" "),SUM(R116:R127))</f>
        <v>68.548000000000002</v>
      </c>
      <c r="S128" s="36" t="str">
        <f t="shared" ref="S128:AD128" si="78">IF(SUM(S116:S127)=0,(" "),SUM(S116:S127))</f>
        <v xml:space="preserve"> 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866.17400000000009</v>
      </c>
      <c r="D129" s="215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>
        <f t="shared" ref="Q129" si="90">IF(Q128=(" "),(" "),P129+Q128)</f>
        <v>797.62599999999986</v>
      </c>
      <c r="R129" s="40">
        <f t="shared" ref="R129" si="91">IF(R128=(" "),(" "),Q129+R128)</f>
        <v>866.17399999999986</v>
      </c>
      <c r="S129" s="40" t="str">
        <f t="shared" ref="S129" si="92">IF(S128=(" "),(" "),R129+S128)</f>
        <v xml:space="preserve"> 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67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10</v>
      </c>
      <c r="B132" s="28" t="str">
        <f>Rooiebal1!A4</f>
        <v>Aerts Jan</v>
      </c>
      <c r="C132" s="32">
        <f>IF(Rooiebal1!AL4=0," ",SUM(E132:AD132))</f>
        <v>105.791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>
        <f>IF(Rooiebal1!U4=(""),(""),ROUND(Rooiebal1!U4/Rooiebal1!$T4*10,3))</f>
        <v>11.053000000000001</v>
      </c>
      <c r="S132" s="36" t="str">
        <f>IF(Rooiebal1!V4=(""),(""),ROUND(Rooiebal1!V4/Rooiebal1!$T4*10,3))</f>
        <v/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11</v>
      </c>
      <c r="B133" s="28" t="str">
        <f>Rooiebal1!A5</f>
        <v xml:space="preserve">Dictus Peter       </v>
      </c>
      <c r="C133" s="32">
        <f>IF(Rooiebal1!AL5=0," ",SUM(E133:AD133))</f>
        <v>93.888999999999996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>
        <f>IF(Rooiebal1!U5=(""),(""),ROUND(Rooiebal1!U5/Rooiebal1!$T5*10,3))</f>
        <v>13.888999999999999</v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7</v>
      </c>
      <c r="B134" s="80" t="str">
        <f>Rooiebal1!A6</f>
        <v xml:space="preserve">Hereygers Cis     </v>
      </c>
      <c r="C134" s="32">
        <f>IF(Rooiebal1!AL6=0," ",SUM(E134:AD134))</f>
        <v>60.588000000000001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>
        <f>IF(Rooiebal1!U6=(""),(""),ROUND(Rooiebal1!U6/Rooiebal1!$T6*10,3))</f>
        <v>11.765000000000001</v>
      </c>
      <c r="S134" s="36" t="str">
        <f>IF(Rooiebal1!V6=(""),(""),ROUND(Rooiebal1!V6/Rooiebal1!$T6*10,3))</f>
        <v/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8</v>
      </c>
      <c r="B135" s="28" t="str">
        <f>Rooiebal1!A7</f>
        <v xml:space="preserve">Karremans Dries  </v>
      </c>
      <c r="C135" s="32">
        <f>IF(Rooiebal1!AL7=0," ",SUM(E135:AD135))</f>
        <v>85.415999999999997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>
        <f>IF(Rooiebal1!O7=(""),(""),ROUND(Rooiebal1!O7/Rooiebal1!$B7*10,3))</f>
        <v>8.3330000000000002</v>
      </c>
      <c r="R135" s="36">
        <f>IF(Rooiebal1!U7=(""),(""),ROUND(Rooiebal1!U7/Rooiebal1!$T7*10,3))</f>
        <v>8.3330000000000002</v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7</v>
      </c>
      <c r="B136" s="28" t="str">
        <f>Rooiebal1!A8</f>
        <v xml:space="preserve">Nelen Ronny       </v>
      </c>
      <c r="C136" s="32">
        <f>IF(Rooiebal1!AL8=0," ",SUM(E136:AD136))</f>
        <v>63.333999999999996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>
        <f>IF(Rooiebal1!O8=(""),(""),ROUND(Rooiebal1!O8/Rooiebal1!$B8*10,3))</f>
        <v>10.909000000000001</v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10</v>
      </c>
      <c r="B137" s="28" t="str">
        <f>Rooiebal1!A9</f>
        <v>Raeymakers Liliane</v>
      </c>
      <c r="C137" s="32">
        <f>IF(Rooiebal1!AL9=0," ",SUM(E137:AD137))</f>
        <v>98.097000000000008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>
        <f>IF(Rooiebal1!O9=(""),(""),ROUND(Rooiebal1!O9/Rooiebal1!$B9*10,3))</f>
        <v>12.381</v>
      </c>
      <c r="R137" s="36">
        <f>IF(Rooiebal1!U9=(""),(""),ROUND(Rooiebal1!U9/Rooiebal1!$T9*10,3))</f>
        <v>7.6189999999999998</v>
      </c>
      <c r="S137" s="36" t="str">
        <f>IF(Rooiebal1!V9=(""),(""),ROUND(Rooiebal1!V9/Rooiebal1!$T9*10,3))</f>
        <v/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8</v>
      </c>
      <c r="B139" s="81" t="str">
        <f>Rooiebal1!A11</f>
        <v>Van Hooydonck René</v>
      </c>
      <c r="C139" s="32">
        <f>IF(Rooiebal1!AL11=0," ",SUM(E139:AD139))</f>
        <v>59.629999999999995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>
        <f>IF(Rooiebal1!O11=(""),(""),ROUND(Rooiebal1!O11/Rooiebal1!$B11*10,3))</f>
        <v>8.1479999999999997</v>
      </c>
      <c r="R139" s="36" t="str">
        <f>IF(Rooiebal1!U11=(""),(""),ROUND(Rooiebal1!U11/Rooiebal1!$T11*10,3))</f>
        <v/>
      </c>
      <c r="S139" s="36" t="str">
        <f>IF(Rooiebal1!V11=(""),(""),ROUND(Rooiebal1!V11/Rooiebal1!$T11*10,3))</f>
        <v/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12</v>
      </c>
      <c r="B140" s="81" t="str">
        <f>Rooiebal1!A12</f>
        <v>Van Oers Theo</v>
      </c>
      <c r="C140" s="32">
        <f>IF(Rooiebal1!AL12=0," ",SUM(E140:AD140))</f>
        <v>108.53100000000001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>
        <f>IF(Rooiebal1!O12=(""),(""),ROUND(Rooiebal1!O12/Rooiebal1!$B12*10,3))</f>
        <v>6.4710000000000001</v>
      </c>
      <c r="R140" s="36">
        <f>IF(Rooiebal1!U12=(""),(""),ROUND(Rooiebal1!U12/Rooiebal1!$T12*10,3))</f>
        <v>11.765000000000001</v>
      </c>
      <c r="S140" s="36" t="str">
        <f>IF(Rooiebal1!V12=(""),(""),ROUND(Rooiebal1!V12/Rooiebal1!$T12*10,3))</f>
        <v/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9</v>
      </c>
      <c r="B141" s="28" t="str">
        <f>Rooiebal1!A13</f>
        <v>Vergouwen Willy</v>
      </c>
      <c r="C141" s="32">
        <f>IF(Rooiebal1!AL13=0," ",SUM(E141:AD141))</f>
        <v>72.572000000000003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>
        <f>IF(Rooiebal1!O13=(""),(""),ROUND(Rooiebal1!O13/Rooiebal1!$B13*10,3))</f>
        <v>6.8570000000000002</v>
      </c>
      <c r="R141" s="36" t="str">
        <f>IF(Rooiebal1!U13=(""),(""),ROUND(Rooiebal1!U13/Rooiebal1!$T13*10,3))</f>
        <v/>
      </c>
      <c r="S141" s="36" t="str">
        <f>IF(Rooiebal1!V13=(""),(""),ROUND(Rooiebal1!V13/Rooiebal1!$T13*10,3))</f>
        <v/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5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>
        <f t="shared" si="105"/>
        <v>53.099000000000004</v>
      </c>
      <c r="R142" s="36">
        <f t="shared" si="105"/>
        <v>64.424000000000007</v>
      </c>
      <c r="S142" s="36" t="str">
        <f t="shared" si="105"/>
        <v xml:space="preserve"> 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776.54300000000001</v>
      </c>
      <c r="D143" s="223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>
        <f t="shared" ref="Q143" si="117">IF(Q142=(" "),(" "),P143+Q142)</f>
        <v>712.11900000000014</v>
      </c>
      <c r="R143" s="40">
        <f t="shared" ref="R143" si="118">IF(R142=(" "),(" "),Q143+R142)</f>
        <v>776.54300000000012</v>
      </c>
      <c r="S143" s="40" t="str">
        <f t="shared" ref="S143" si="119">IF(S142=(" "),(" "),R143+S142)</f>
        <v xml:space="preserve"> 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67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5</v>
      </c>
      <c r="B146" s="128" t="str">
        <f>Rooiebal2!A4</f>
        <v xml:space="preserve">Costermans Leo   </v>
      </c>
      <c r="C146" s="32">
        <f>IF(Rooiebal2!AL4=0," ",SUM(E146:AD146))</f>
        <v>54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>
        <f>IF(Rooiebal2!O4=(""),(""),ROUND(Rooiebal2!O4/Rooiebal2!$B4*10,3))</f>
        <v>7.3330000000000002</v>
      </c>
      <c r="R146" s="36" t="str">
        <f>IF(Rooiebal2!U4=(""),(""),ROUND(Rooiebal2!U4/Rooiebal2!$T4*10,3))</f>
        <v/>
      </c>
      <c r="S146" s="36" t="str">
        <f>IF(Rooiebal2!V4=(""),(""),ROUND(Rooiebal2!V4/Rooiebal2!$T4*10,3))</f>
        <v/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7</v>
      </c>
      <c r="B147" s="128" t="str">
        <f>Rooiebal2!A5</f>
        <v>Dictus Fred</v>
      </c>
      <c r="C147" s="32">
        <f>IF(Rooiebal2!AL5=0," ",SUM(E147:AD147))</f>
        <v>65.763000000000005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>
        <f>IF(Rooiebal2!O5=(""),(""),ROUND(Rooiebal2!O5/Rooiebal2!$B5*10,3))</f>
        <v>10.339</v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10</v>
      </c>
      <c r="B148" s="128" t="str">
        <f>Rooiebal2!A6</f>
        <v xml:space="preserve">Donckers Johnny </v>
      </c>
      <c r="C148" s="32">
        <f>IF(Rooiebal2!AL6=0," ",SUM(E148:AD148))</f>
        <v>130.80000000000001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>
        <f>IF(Rooiebal2!U6=(""),(""),ROUND(Rooiebal2!U6/Rooiebal2!$T6*10,3))</f>
        <v>12</v>
      </c>
      <c r="S148" s="36" t="str">
        <f>IF(Rooiebal2!V6=(""),(""),ROUND(Rooiebal2!V6/Rooiebal2!$T6*10,3))</f>
        <v/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9</v>
      </c>
      <c r="B149" s="128" t="str">
        <f>Rooiebal2!A7</f>
        <v>Goossen Winnie</v>
      </c>
      <c r="C149" s="32">
        <f>IF(Rooiebal2!AL7=0," ",SUM(E149:AD149))</f>
        <v>93.871000000000009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>
        <f>IF(Rooiebal2!U7=(""),(""),ROUND(Rooiebal2!U7/Rooiebal2!$T7*10,3))</f>
        <v>9.3550000000000004</v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8</v>
      </c>
      <c r="B150" s="129" t="str">
        <f>Rooiebal2!A8</f>
        <v>Lodewijckx Willy</v>
      </c>
      <c r="C150" s="32">
        <f>IF(Rooiebal2!AL8=0," ",SUM(E150:AD150))</f>
        <v>83.5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>
        <f>IF(Rooiebal2!O8=(""),(""),ROUND(Rooiebal2!O8/Rooiebal2!$B8*10,3))</f>
        <v>7.25</v>
      </c>
      <c r="R150" s="36">
        <f>IF(Rooiebal2!U8=(""),(""),ROUND(Rooiebal2!U8/Rooiebal2!$T8*10,3))</f>
        <v>9.5</v>
      </c>
      <c r="S150" s="36" t="str">
        <f>IF(Rooiebal2!V8=(""),(""),ROUND(Rooiebal2!V8/Rooiebal2!$T8*10,3))</f>
        <v/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5</v>
      </c>
      <c r="B151" s="128" t="str">
        <f>Rooiebal2!A9</f>
        <v xml:space="preserve">Mathyssen Guy  </v>
      </c>
      <c r="C151" s="32">
        <f>IF(Rooiebal2!AL9=0," ",SUM(E151:AD151))</f>
        <v>35.587000000000003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 t="str">
        <f>IF(Rooiebal2!V9=(""),(""),ROUND(Rooiebal2!V9/Rooiebal2!$T9*10,3))</f>
        <v/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8</v>
      </c>
      <c r="B152" s="128" t="str">
        <f>Rooiebal2!A10</f>
        <v>Ossenblok Ed</v>
      </c>
      <c r="C152" s="32">
        <f>IF(Rooiebal2!AL10=0," ",SUM(E152:AD152))</f>
        <v>74.286000000000001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>
        <f>IF(Rooiebal2!O10=(""),(""),ROUND(Rooiebal2!O10/Rooiebal2!$B10*10,3))</f>
        <v>5.1429999999999998</v>
      </c>
      <c r="R152" s="36" t="str">
        <f>IF(Rooiebal2!U10=(""),(""),ROUND(Rooiebal2!U10/Rooiebal2!$T10*10,3))</f>
        <v/>
      </c>
      <c r="S152" s="36" t="str">
        <f>IF(Rooiebal2!V10=(""),(""),ROUND(Rooiebal2!V10/Rooiebal2!$T10*10,3))</f>
        <v/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8</v>
      </c>
      <c r="B153" s="128" t="str">
        <f>Rooiebal2!A11</f>
        <v>Suykerbuyk Cis</v>
      </c>
      <c r="C153" s="32">
        <f>IF(Rooiebal2!AL11=0," ",SUM(E153:AD153))</f>
        <v>66.001999999999995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>
        <f>IF(Rooiebal2!O11=(""),(""),ROUND(Rooiebal2!O11/Rooiebal2!$B11*10,3))</f>
        <v>8.6669999999999998</v>
      </c>
      <c r="R153" s="36">
        <f>IF(Rooiebal2!U11=(""),(""),ROUND(Rooiebal2!U11/Rooiebal2!$T11*10,3))</f>
        <v>8.6669999999999998</v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8</v>
      </c>
      <c r="B154" s="128" t="str">
        <f>Rooiebal2!A12</f>
        <v>Swinnen Michel</v>
      </c>
      <c r="C154" s="32">
        <f>IF(Rooiebal2!AL12=0," ",SUM(E154:AD154))</f>
        <v>83.947000000000003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>
        <f>IF(Rooiebal2!U12=(""),(""),ROUND(Rooiebal2!U12/Rooiebal2!$T12*10,3))</f>
        <v>6.8419999999999996</v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9</v>
      </c>
      <c r="B155" s="128" t="str">
        <f>Rooiebal2!A13</f>
        <v>Veraart Swa</v>
      </c>
      <c r="C155" s="32">
        <f>IF(Rooiebal2!AL13=0," ",SUM(E155:AD155))</f>
        <v>91.25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>
        <f>IF(Rooiebal2!U13=(""),(""),ROUND(Rooiebal2!U13/Rooiebal2!$T13*10,3))</f>
        <v>7.0830000000000002</v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7</v>
      </c>
      <c r="B156" s="210" t="str">
        <f>Rooiebal2!A14</f>
        <v>Konings Kamiel [NS 20]</v>
      </c>
      <c r="C156" s="32">
        <f>IF(Rooiebal2!AL14=0," ",SUM(E156:AD156))</f>
        <v>39.334000000000003</v>
      </c>
      <c r="E156" s="36" t="str">
        <f>IF(Rooiebal2!C14=(""),(""),ROUND(Rooiebal2!C14/Rooiebal2!$B14*10,3))</f>
        <v/>
      </c>
      <c r="F156" s="265">
        <f>IF(Rooiebal2!D14=(""),(""),ROUND(Rooiebal2!D14/20*10,3))</f>
        <v>7</v>
      </c>
      <c r="G156" s="36" t="str">
        <f>IF(Rooiebal2!E14=(""),(""),ROUND(Rooiebal2!E14/Rooiebal2!$B14*10,3))</f>
        <v/>
      </c>
      <c r="H156" s="265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65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>
        <f>IF(Rooiebal2!O14=(""),(""),ROUND(Rooiebal2!O14/Rooiebal2!$B14*10,3))</f>
        <v>6.6669999999999998</v>
      </c>
      <c r="R156" s="36" t="str">
        <f>IF(Rooiebal2!U14=(""),(""),ROUND(Rooiebal2!U14/Rooiebal2!$T14*10,3))</f>
        <v/>
      </c>
      <c r="S156" s="36" t="str">
        <f>IF(Rooiebal2!V14=(""),(""),ROUND(Rooiebal2!V14/Rooiebal2!$T14*10,3))</f>
        <v/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5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>
        <f t="shared" si="132"/>
        <v>45.399000000000001</v>
      </c>
      <c r="R157" s="36">
        <f t="shared" si="132"/>
        <v>53.446999999999996</v>
      </c>
      <c r="S157" s="36" t="str">
        <f t="shared" si="132"/>
        <v xml:space="preserve"> 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818.33999999999992</v>
      </c>
      <c r="D158" s="223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>
        <f t="shared" si="133"/>
        <v>764.89300000000003</v>
      </c>
      <c r="R158" s="40">
        <f t="shared" si="133"/>
        <v>818.34</v>
      </c>
      <c r="S158" s="40" t="str">
        <f t="shared" si="133"/>
        <v xml:space="preserve"> 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10</v>
      </c>
      <c r="B161" s="28" t="str">
        <f>Putte!A4</f>
        <v xml:space="preserve">Anthonissen Paul </v>
      </c>
      <c r="C161" s="32">
        <f>IF(Putte!AL4=0," ",SUM(E161:AD161))</f>
        <v>105.001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>
        <f>IF(Putte!O4=(""),(""),ROUND(Putte!O4/Putte!$B4*10,3))</f>
        <v>6.0529999999999999</v>
      </c>
      <c r="R161" s="36">
        <f>IF(Putte!U4=(""),(""),ROUND(Putte!U4/Putte!$T4*10,3))</f>
        <v>9.4740000000000002</v>
      </c>
      <c r="S161" s="36" t="str">
        <f>IF(Putte!V4=(""),(""),ROUND(Putte!V4/Putte!$T4*10,3))</f>
        <v/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7</v>
      </c>
      <c r="B162" s="81" t="str">
        <f>Putte!A5</f>
        <v>De Beukelaer Freddy</v>
      </c>
      <c r="C162" s="32">
        <f>IF(Putte!AL5=0," ",SUM(E162:AD162))</f>
        <v>66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>
        <f>IF(Putte!O5=(""),(""),ROUND(Putte!O5/Putte!$B5*10,3))</f>
        <v>13.5</v>
      </c>
      <c r="R162" s="36" t="str">
        <f>IF(Putte!U5=(""),(""),ROUND(Putte!U5/Putte!$T5*10,3))</f>
        <v/>
      </c>
      <c r="S162" s="36" t="str">
        <f>IF(Putte!V5=(""),(""),ROUND(Putte!V5/Putte!$T5*10,3))</f>
        <v/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10</v>
      </c>
      <c r="B163" s="81" t="str">
        <f>Putte!A6</f>
        <v>Evers Henri</v>
      </c>
      <c r="C163" s="32">
        <f>IF(Putte!AL6=0," ",SUM(E163:AD163))</f>
        <v>83.334000000000003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>
        <f>IF(Putte!U6=(""),(""),ROUND(Putte!U6/Putte!$T6*10,3))</f>
        <v>10.667</v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10</v>
      </c>
      <c r="B164" s="28" t="str">
        <f>Putte!A7</f>
        <v xml:space="preserve">Palinckx Fons </v>
      </c>
      <c r="C164" s="32">
        <f>IF(Putte!AL7=0," ",SUM(E164:AD164))</f>
        <v>93.417999999999992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 t="str">
        <f>IF(Putte!V7=(""),(""),ROUND(Putte!V7/Putte!$T7*10,3))</f>
        <v/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12</v>
      </c>
      <c r="B166" s="28" t="str">
        <f>Putte!A9</f>
        <v xml:space="preserve">Plompen Dirk </v>
      </c>
      <c r="C166" s="32">
        <f>IF(Putte!AL9=0," ",SUM(E166:AD166))</f>
        <v>136.21699999999998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>
        <f>IF(Putte!O9=(""),(""),ROUND(Putte!O9/Putte!$B9*10,3))</f>
        <v>7.2969999999999997</v>
      </c>
      <c r="R166" s="36">
        <f>IF(Putte!U9=(""),(""),ROUND(Putte!U9/Putte!$T9*10,3))</f>
        <v>5.4050000000000002</v>
      </c>
      <c r="S166" s="36" t="str">
        <f>IF(Putte!V9=(""),(""),ROUND(Putte!V9/Putte!$T9*10,3))</f>
        <v/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7</v>
      </c>
      <c r="B167" s="28" t="str">
        <f>Putte!A10</f>
        <v xml:space="preserve">Schaeken Pierre </v>
      </c>
      <c r="C167" s="32">
        <f>IF(Putte!AL10=0," ",SUM(E167:AD167))</f>
        <v>80.5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>
        <f>IF(Putte!U10=(""),(""),ROUND(Putte!U10/Putte!$T10*10,3))</f>
        <v>7.5</v>
      </c>
      <c r="S167" s="36" t="str">
        <f>IF(Putte!V10=(""),(""),ROUND(Putte!V10/Putte!$T10*10,3))</f>
        <v/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9</v>
      </c>
      <c r="B170" s="28" t="str">
        <f>Putte!A13</f>
        <v>Verelst Gilbert</v>
      </c>
      <c r="C170" s="32">
        <f>IF(Putte!AL13=0," ",SUM(E170:AD170))</f>
        <v>95.834000000000003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>
        <f>IF(Putte!O13=(""),(""),ROUND(Putte!O13/Putte!$B13*10,3))</f>
        <v>6.6669999999999998</v>
      </c>
      <c r="R170" s="36">
        <f>IF(Putte!U13=(""),(""),ROUND(Putte!U13/Putte!$T13*10,3))</f>
        <v>7.9169999999999998</v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5</v>
      </c>
      <c r="B171" s="28" t="str">
        <f>Putte!A14</f>
        <v>Wolfcarius Jaques</v>
      </c>
      <c r="C171" s="32">
        <f>IF(Putte!AL14=0," ",SUM(E171:AD171))</f>
        <v>51.363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>
        <f>IF(Putte!O14=(""),(""),ROUND(Putte!O14/Putte!$B14*10,3))</f>
        <v>10</v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8</v>
      </c>
      <c r="B172" s="28" t="str">
        <f>Putte!A15</f>
        <v xml:space="preserve">Eyckmans Luc   </v>
      </c>
      <c r="C172" s="32">
        <f>IF(Putte!AL15=0," ",SUM(E172:AD172))</f>
        <v>75.653000000000006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>
        <f>IF(Putte!O15=(""),(""),ROUND(Putte!O15/Putte!$B15*10,3))</f>
        <v>10.87</v>
      </c>
      <c r="R172" s="36">
        <f>IF(Putte!U15=(""),(""),ROUND(Putte!U15/Putte!$T15*10,3))</f>
        <v>6.0869999999999997</v>
      </c>
      <c r="S172" s="36" t="str">
        <f>IF(Putte!V15=(""),(""),ROUND(Putte!V15/Putte!$T15*10,3))</f>
        <v/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15" customHeight="1" x14ac:dyDescent="0.3">
      <c r="A173" s="27" t="str">
        <f t="shared" ref="A173" si="135">IF(SUM(E173:AD173)=0,(" "),COUNTIF(E173:AD173,"&gt;0"))</f>
        <v xml:space="preserve"> </v>
      </c>
      <c r="B173" s="38" t="str">
        <f>Putte!A16</f>
        <v>Moerbeek Wilfried (ns)</v>
      </c>
      <c r="C173" s="32" t="str">
        <f>IF(Putte!AL16=0," ",SUM(E173:AD173))</f>
        <v xml:space="preserve"> </v>
      </c>
      <c r="E173" s="36" t="str">
        <f>IF(Putte!C16=(""),(""),ROUND(Putte!C16/Putte!$B16*10,3))</f>
        <v/>
      </c>
      <c r="F173" s="36" t="str">
        <f>IF(Putte!D16=(""),(""),ROUND(Putte!D16/Putte!$B16*10,3))</f>
        <v/>
      </c>
      <c r="G173" s="36" t="str">
        <f>IF(Putte!E16=(""),(""),ROUND(Putte!E16/Putte!$B16*10,3))</f>
        <v/>
      </c>
      <c r="H173" s="36" t="str">
        <f>IF(Putte!F16=(""),(""),ROUND(Putte!F16/Putte!$B16*10,3))</f>
        <v/>
      </c>
      <c r="I173" s="36" t="str">
        <f>IF(Putte!G16=(""),(""),ROUND(Putte!G16/Putte!$B16*10,3))</f>
        <v/>
      </c>
      <c r="J173" s="36" t="str">
        <f>IF(Putte!H16=(""),(""),ROUND(Putte!H16/Putte!$B16*10,3))</f>
        <v/>
      </c>
      <c r="K173" s="36" t="str">
        <f>IF(Putte!I16=(""),(""),ROUND(Putte!I16/Putte!$B16*10,3))</f>
        <v/>
      </c>
      <c r="L173" s="36" t="str">
        <f>IF(Putte!J16=(""),(""),ROUND(Putte!J16/Putte!$B16*10,3))</f>
        <v/>
      </c>
      <c r="M173" s="36" t="str">
        <f>IF(Putte!K16=(""),(""),ROUND(Putte!K16/Putte!$B16*10,3))</f>
        <v/>
      </c>
      <c r="N173" s="36" t="str">
        <f>IF(Putte!L16=(""),(""),ROUND(Putte!L16/Putte!$B16*10,3))</f>
        <v/>
      </c>
      <c r="O173" s="36" t="str">
        <f>IF(Putte!M16=(""),(""),ROUND(Putte!M16/Putte!$B16*10,3))</f>
        <v/>
      </c>
      <c r="P173" s="36" t="str">
        <f>IF(Putte!N16=(""),(""),ROUND(Putte!N16/Putte!$B16*10,3))</f>
        <v/>
      </c>
      <c r="Q173" s="36" t="str">
        <f>IF(Putte!O16=(""),(""),ROUND(Putte!O16/Putte!$B16*10,3))</f>
        <v/>
      </c>
      <c r="R173" s="36" t="str">
        <f>IF(Putte!U16=(""),(""),ROUND(Putte!U16/Putte!$T16*10,3))</f>
        <v/>
      </c>
      <c r="S173" s="36" t="str">
        <f>IF(Putte!V16=(""),(""),ROUND(Putte!V16/Putte!$T16*10,3))</f>
        <v/>
      </c>
      <c r="T173" s="36" t="str">
        <f>IF(Putte!W16=(""),(""),ROUND(Putte!W16/Putte!$T16*10,3))</f>
        <v/>
      </c>
      <c r="U173" s="36" t="str">
        <f>IF(Putte!X16=(""),(""),ROUND(Putte!X16/Putte!$T16*10,3))</f>
        <v/>
      </c>
      <c r="V173" s="36" t="str">
        <f>IF(Putte!Y16=(""),(""),ROUND(Putte!Y16/Putte!$T16*10,3))</f>
        <v/>
      </c>
      <c r="W173" s="36" t="str">
        <f>IF(Putte!Z16=(""),(""),ROUND(Putte!Z16/Putte!$T16*10,3))</f>
        <v/>
      </c>
      <c r="X173" s="36" t="str">
        <f>IF(Putte!AA16=(""),(""),ROUND(Putte!AA16/Putte!$T16*10,3))</f>
        <v/>
      </c>
      <c r="Y173" s="36" t="str">
        <f>IF(Putte!AB16=(""),(""),ROUND(Putte!AB16/Putte!$T16*10,3))</f>
        <v/>
      </c>
      <c r="Z173" s="36" t="str">
        <f>IF(Putte!AC16=(""),(""),ROUND(Putte!AC16/Putte!$T16*10,3))</f>
        <v/>
      </c>
      <c r="AA173" s="36" t="str">
        <f>IF(Putte!AD16=(""),(""),ROUND(Putte!AD16/Putte!$T16*10,3))</f>
        <v/>
      </c>
      <c r="AB173" s="36" t="str">
        <f>IF(Putte!AE16=(""),(""),ROUND(Putte!AE16/Putte!$T16*10,3))</f>
        <v/>
      </c>
      <c r="AC173" s="36" t="str">
        <f>IF(Putte!AF16=(""),(""),ROUND(Putte!AF16/Putte!$T16*10,3))</f>
        <v/>
      </c>
      <c r="AD173" s="36" t="str">
        <f>IF(Putte!AG16=(""),(""),ROUND(Putte!AG16/Putte!$T16*10,3))</f>
        <v/>
      </c>
      <c r="AE173" s="36"/>
    </row>
    <row r="174" spans="1:31" ht="20.399999999999999" customHeight="1" x14ac:dyDescent="0.3">
      <c r="C174" s="215" t="str">
        <f>B160</f>
        <v>Sen. PUTTE</v>
      </c>
      <c r="D174" s="35"/>
      <c r="E174" s="36">
        <f t="shared" ref="E174:AD174" si="136">IF(SUM(E161:E173)=0,(" "),SUM(E161:E173))</f>
        <v>71.852000000000004</v>
      </c>
      <c r="F174" s="36">
        <f t="shared" si="136"/>
        <v>59.448000000000008</v>
      </c>
      <c r="G174" s="36">
        <f t="shared" si="136"/>
        <v>66.72399999999999</v>
      </c>
      <c r="H174" s="36">
        <f t="shared" si="136"/>
        <v>55.756</v>
      </c>
      <c r="I174" s="36">
        <f t="shared" si="136"/>
        <v>61.228999999999999</v>
      </c>
      <c r="J174" s="36">
        <f t="shared" si="136"/>
        <v>54.995000000000005</v>
      </c>
      <c r="K174" s="36">
        <f t="shared" si="136"/>
        <v>72.176999999999992</v>
      </c>
      <c r="L174" s="36">
        <f t="shared" si="136"/>
        <v>61.198999999999998</v>
      </c>
      <c r="M174" s="36">
        <f t="shared" si="136"/>
        <v>71.329000000000008</v>
      </c>
      <c r="N174" s="36">
        <f t="shared" si="136"/>
        <v>59.75</v>
      </c>
      <c r="O174" s="36">
        <f t="shared" si="136"/>
        <v>60.125</v>
      </c>
      <c r="P174" s="36">
        <f t="shared" si="136"/>
        <v>65.843999999999994</v>
      </c>
      <c r="Q174" s="36">
        <f t="shared" si="136"/>
        <v>54.387</v>
      </c>
      <c r="R174" s="36">
        <f t="shared" si="136"/>
        <v>47.05</v>
      </c>
      <c r="S174" s="36" t="str">
        <f t="shared" si="136"/>
        <v xml:space="preserve"> </v>
      </c>
      <c r="T174" s="36" t="str">
        <f t="shared" si="136"/>
        <v xml:space="preserve"> </v>
      </c>
      <c r="U174" s="36" t="str">
        <f t="shared" si="136"/>
        <v xml:space="preserve"> </v>
      </c>
      <c r="V174" s="36" t="str">
        <f t="shared" si="136"/>
        <v xml:space="preserve"> </v>
      </c>
      <c r="W174" s="36" t="str">
        <f t="shared" si="136"/>
        <v xml:space="preserve"> </v>
      </c>
      <c r="X174" s="36" t="str">
        <f t="shared" si="136"/>
        <v xml:space="preserve"> </v>
      </c>
      <c r="Y174" s="36" t="str">
        <f t="shared" si="136"/>
        <v xml:space="preserve"> </v>
      </c>
      <c r="Z174" s="36" t="str">
        <f t="shared" si="136"/>
        <v xml:space="preserve"> </v>
      </c>
      <c r="AA174" s="36" t="str">
        <f t="shared" si="136"/>
        <v xml:space="preserve"> </v>
      </c>
      <c r="AB174" s="36" t="str">
        <f t="shared" si="136"/>
        <v xml:space="preserve"> </v>
      </c>
      <c r="AC174" s="36" t="str">
        <f t="shared" si="136"/>
        <v xml:space="preserve"> </v>
      </c>
      <c r="AD174" s="36" t="str">
        <f t="shared" si="136"/>
        <v xml:space="preserve"> </v>
      </c>
      <c r="AE174" s="36"/>
    </row>
    <row r="175" spans="1:31" s="39" customFormat="1" ht="15" customHeight="1" x14ac:dyDescent="0.35">
      <c r="A175" s="37"/>
      <c r="B175" s="156"/>
      <c r="C175" s="41">
        <f>SUM(C161:C173)</f>
        <v>861.86500000000001</v>
      </c>
      <c r="D175" s="223" t="str">
        <f>B160</f>
        <v>Sen. PUTTE</v>
      </c>
      <c r="E175" s="40">
        <f>SUM(E161:E173)</f>
        <v>71.852000000000004</v>
      </c>
      <c r="F175" s="40">
        <f t="shared" ref="F175:AD175" si="137">IF(F174=(" "),(" "),E175+F174)</f>
        <v>131.30000000000001</v>
      </c>
      <c r="G175" s="40">
        <f t="shared" si="137"/>
        <v>198.024</v>
      </c>
      <c r="H175" s="40">
        <f t="shared" si="137"/>
        <v>253.78</v>
      </c>
      <c r="I175" s="40">
        <f t="shared" si="137"/>
        <v>315.00900000000001</v>
      </c>
      <c r="J175" s="40">
        <f t="shared" si="137"/>
        <v>370.00400000000002</v>
      </c>
      <c r="K175" s="40">
        <f t="shared" si="137"/>
        <v>442.18100000000004</v>
      </c>
      <c r="L175" s="40">
        <f t="shared" si="137"/>
        <v>503.38000000000005</v>
      </c>
      <c r="M175" s="40">
        <f t="shared" si="137"/>
        <v>574.70900000000006</v>
      </c>
      <c r="N175" s="40">
        <f t="shared" si="137"/>
        <v>634.45900000000006</v>
      </c>
      <c r="O175" s="40">
        <f t="shared" si="137"/>
        <v>694.58400000000006</v>
      </c>
      <c r="P175" s="40">
        <f t="shared" si="137"/>
        <v>760.42800000000011</v>
      </c>
      <c r="Q175" s="40">
        <f t="shared" si="137"/>
        <v>814.81500000000005</v>
      </c>
      <c r="R175" s="40">
        <f t="shared" si="137"/>
        <v>861.86500000000001</v>
      </c>
      <c r="S175" s="40" t="str">
        <f t="shared" si="137"/>
        <v xml:space="preserve"> </v>
      </c>
      <c r="T175" s="40" t="str">
        <f t="shared" si="137"/>
        <v xml:space="preserve"> </v>
      </c>
      <c r="U175" s="40" t="str">
        <f t="shared" si="137"/>
        <v xml:space="preserve"> </v>
      </c>
      <c r="V175" s="40" t="str">
        <f t="shared" si="137"/>
        <v xml:space="preserve"> </v>
      </c>
      <c r="W175" s="40" t="str">
        <f t="shared" si="137"/>
        <v xml:space="preserve"> </v>
      </c>
      <c r="X175" s="40" t="str">
        <f>IF(X174=(" "),(" "),W175+X174)</f>
        <v xml:space="preserve"> </v>
      </c>
      <c r="Y175" s="40" t="str">
        <f t="shared" si="137"/>
        <v xml:space="preserve"> </v>
      </c>
      <c r="Z175" s="40" t="str">
        <f t="shared" si="137"/>
        <v xml:space="preserve"> </v>
      </c>
      <c r="AA175" s="40" t="str">
        <f t="shared" si="137"/>
        <v xml:space="preserve"> </v>
      </c>
      <c r="AB175" s="40" t="str">
        <f t="shared" si="137"/>
        <v xml:space="preserve"> </v>
      </c>
      <c r="AC175" s="40" t="str">
        <f t="shared" si="137"/>
        <v xml:space="preserve"> </v>
      </c>
      <c r="AD175" s="40" t="str">
        <f t="shared" si="137"/>
        <v xml:space="preserve"> </v>
      </c>
      <c r="AE175" s="40"/>
    </row>
    <row r="176" spans="1:31" ht="25.2" customHeight="1" x14ac:dyDescent="0.3"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</row>
    <row r="177" spans="1:31" ht="15" customHeight="1" x14ac:dyDescent="0.3">
      <c r="B177" s="31" t="s">
        <v>33</v>
      </c>
      <c r="E177" s="27">
        <v>1</v>
      </c>
      <c r="F177" s="27">
        <v>2</v>
      </c>
      <c r="G177" s="27">
        <v>3</v>
      </c>
      <c r="H177" s="27">
        <v>4</v>
      </c>
      <c r="I177" s="27">
        <v>5</v>
      </c>
      <c r="J177" s="27">
        <v>6</v>
      </c>
      <c r="K177" s="27">
        <v>7</v>
      </c>
      <c r="L177" s="27">
        <v>8</v>
      </c>
      <c r="M177" s="27">
        <v>9</v>
      </c>
      <c r="N177" s="27">
        <v>10</v>
      </c>
      <c r="O177" s="27">
        <v>11</v>
      </c>
      <c r="P177" s="27">
        <v>12</v>
      </c>
      <c r="Q177" s="27">
        <v>13</v>
      </c>
      <c r="R177" s="27">
        <v>14</v>
      </c>
      <c r="S177" s="27">
        <v>15</v>
      </c>
      <c r="T177" s="27">
        <v>16</v>
      </c>
      <c r="U177" s="27">
        <v>17</v>
      </c>
      <c r="V177" s="27">
        <v>18</v>
      </c>
      <c r="W177" s="27">
        <v>19</v>
      </c>
      <c r="X177" s="27">
        <v>20</v>
      </c>
      <c r="Y177" s="27">
        <v>21</v>
      </c>
      <c r="Z177" s="27">
        <v>22</v>
      </c>
      <c r="AA177" s="27">
        <v>23</v>
      </c>
      <c r="AB177" s="27">
        <v>24</v>
      </c>
      <c r="AC177" s="27">
        <v>25</v>
      </c>
      <c r="AD177" s="27">
        <v>26</v>
      </c>
      <c r="AE177" s="36"/>
    </row>
    <row r="178" spans="1:31" ht="15" customHeight="1" x14ac:dyDescent="0.3">
      <c r="A178" s="27">
        <f t="shared" ref="A178:A189" si="138">IF(SUM(E178:AD178)=0,(" "),COUNTIF(E178:AD178,"&gt;0"))</f>
        <v>4</v>
      </c>
      <c r="B178" s="28" t="str">
        <f>Wildert1!A4</f>
        <v>Adriaansen Jan</v>
      </c>
      <c r="C178" s="32">
        <f>IF(Wildert1!AL4=0," ",SUM(E178:AD178))</f>
        <v>30</v>
      </c>
      <c r="E178" s="36" t="str">
        <f>IF(Wildert1!C4=(""),(""),ROUND(Wildert1!C4/Wildert1!$B4*10,3))</f>
        <v/>
      </c>
      <c r="F178" s="36">
        <f>IF(Wildert1!D4=(""),(""),ROUND(Wildert1!D4/Wildert1!$B4*10,3))</f>
        <v>8.2349999999999994</v>
      </c>
      <c r="G178" s="36" t="str">
        <f>IF(Wildert1!E4=(""),(""),ROUND(Wildert1!E4/Wildert1!$B4*10,3))</f>
        <v/>
      </c>
      <c r="H178" s="36">
        <f>IF(Wildert1!F4=(""),(""),ROUND(Wildert1!F4/Wildert1!$B4*10,3))</f>
        <v>7.6470000000000002</v>
      </c>
      <c r="I178" s="36" t="str">
        <f>IF(Wildert1!G4=(""),(""),ROUND(Wildert1!G4/Wildert1!$B4*10,3))</f>
        <v/>
      </c>
      <c r="J178" s="36">
        <f>IF(Wildert1!H4=(""),(""),ROUND(Wildert1!H4/Wildert1!$B4*10,3))</f>
        <v>5.2939999999999996</v>
      </c>
      <c r="K178" s="36" t="str">
        <f>IF(Wildert1!I4=(""),(""),ROUND(Wildert1!I4/Wildert1!$B4*10,3))</f>
        <v/>
      </c>
      <c r="L178" s="36" t="str">
        <f>IF(Wildert1!J4=(""),(""),ROUND(Wildert1!J4/Wildert1!$B4*10,3))</f>
        <v/>
      </c>
      <c r="M178" s="36" t="str">
        <f>IF(Wildert1!K4=(""),(""),ROUND(Wildert1!K4/Wildert1!$B4*10,3))</f>
        <v/>
      </c>
      <c r="N178" s="36" t="str">
        <f>IF(Wildert1!L4=(""),(""),ROUND(Wildert1!L4/Wildert1!$B4*10,3))</f>
        <v/>
      </c>
      <c r="O178" s="36">
        <f>IF(Wildert1!M4=(""),(""),ROUND(Wildert1!M4/Wildert1!$B4*10,3))</f>
        <v>8.8239999999999998</v>
      </c>
      <c r="P178" s="36" t="str">
        <f>IF(Wildert1!N4=(""),(""),ROUND(Wildert1!N4/Wildert1!$B4*10,3))</f>
        <v/>
      </c>
      <c r="Q178" s="36" t="str">
        <f>IF(Wildert1!O4=(""),(""),ROUND(Wildert1!O4/Wildert1!$B4*10,3))</f>
        <v/>
      </c>
      <c r="R178" s="36" t="str">
        <f>IF(Wildert1!U4=(""),(""),ROUND(Wildert1!U4/Wildert1!$T4*10,3))</f>
        <v/>
      </c>
      <c r="S178" s="36" t="str">
        <f>IF(Wildert1!V4=(""),(""),ROUND(Wildert1!V4/Wildert1!$T4*10,3))</f>
        <v/>
      </c>
      <c r="T178" s="36" t="str">
        <f>IF(Wildert1!W4=(""),(""),ROUND(Wildert1!W4/Wildert1!$T4*10,3))</f>
        <v/>
      </c>
      <c r="U178" s="36" t="str">
        <f>IF(Wildert1!X4=(""),(""),ROUND(Wildert1!X4/Wildert1!$T4*10,3))</f>
        <v/>
      </c>
      <c r="V178" s="36" t="str">
        <f>IF(Wildert1!Y4=(""),(""),ROUND(Wildert1!Y4/Wildert1!$T4*10,3))</f>
        <v/>
      </c>
      <c r="W178" s="36" t="str">
        <f>IF(Wildert1!Z4=(""),(""),ROUND(Wildert1!Z4/Wildert1!$T4*10,3))</f>
        <v/>
      </c>
      <c r="X178" s="36" t="str">
        <f>IF(Wildert1!AA4=(""),(""),ROUND(Wildert1!AA4/Wildert1!$T4*10,3))</f>
        <v/>
      </c>
      <c r="Y178" s="36" t="str">
        <f>IF(Wildert1!AB4=(""),(""),ROUND(Wildert1!AB4/Wildert1!$T4*10,3))</f>
        <v/>
      </c>
      <c r="Z178" s="36" t="str">
        <f>IF(Wildert1!AC4=(""),(""),ROUND(Wildert1!AC4/Wildert1!$T4*10,3))</f>
        <v/>
      </c>
      <c r="AA178" s="36" t="str">
        <f>IF(Wildert1!AD4=(""),(""),ROUND(Wildert1!AD4/Wildert1!$T4*10,3))</f>
        <v/>
      </c>
      <c r="AB178" s="36" t="str">
        <f>IF(Wildert1!AE4=(""),(""),ROUND(Wildert1!AE4/Wildert1!$T4*10,3))</f>
        <v/>
      </c>
      <c r="AC178" s="36" t="str">
        <f>IF(Wildert1!AF4=(""),(""),ROUND(Wildert1!AF4/Wildert1!$T4*10,3))</f>
        <v/>
      </c>
      <c r="AD178" s="36" t="str">
        <f>IF(Wildert1!AG4=(""),(""),ROUND(Wildert1!AG4/Wildert1!$T4*10,3))</f>
        <v/>
      </c>
      <c r="AE178" s="36"/>
    </row>
    <row r="179" spans="1:31" ht="15" customHeight="1" x14ac:dyDescent="0.3">
      <c r="A179" s="27">
        <f t="shared" si="138"/>
        <v>8</v>
      </c>
      <c r="B179" s="28" t="str">
        <f>Wildert1!A5</f>
        <v>Brouwers Adri</v>
      </c>
      <c r="C179" s="32">
        <f>IF(Wildert1!AL5=0," ",SUM(E179:AD179))</f>
        <v>69.736999999999995</v>
      </c>
      <c r="E179" s="36">
        <f>IF(Wildert1!C5=(""),(""),ROUND(Wildert1!C5/Wildert1!$B5*10,3))</f>
        <v>6.5789999999999997</v>
      </c>
      <c r="F179" s="36" t="str">
        <f>IF(Wildert1!D5=(""),(""),ROUND(Wildert1!D5/Wildert1!$B5*10,3))</f>
        <v/>
      </c>
      <c r="G179" s="36" t="str">
        <f>IF(Wildert1!E5=(""),(""),ROUND(Wildert1!E5/Wildert1!$B5*10,3))</f>
        <v/>
      </c>
      <c r="H179" s="36">
        <f>IF(Wildert1!F5=(""),(""),ROUND(Wildert1!F5/Wildert1!$B5*10,3))</f>
        <v>11.316000000000001</v>
      </c>
      <c r="I179" s="36" t="str">
        <f>IF(Wildert1!G5=(""),(""),ROUND(Wildert1!G5/Wildert1!$B5*10,3))</f>
        <v/>
      </c>
      <c r="J179" s="36" t="str">
        <f>IF(Wildert1!H5=(""),(""),ROUND(Wildert1!H5/Wildert1!$B5*10,3))</f>
        <v/>
      </c>
      <c r="K179" s="36" t="str">
        <f>IF(Wildert1!I5=(""),(""),ROUND(Wildert1!I5/Wildert1!$B5*10,3))</f>
        <v/>
      </c>
      <c r="L179" s="36">
        <f>IF(Wildert1!J5=(""),(""),ROUND(Wildert1!J5/Wildert1!$B5*10,3))</f>
        <v>15</v>
      </c>
      <c r="M179" s="36">
        <f>IF(Wildert1!K5=(""),(""),ROUND(Wildert1!K5/Wildert1!$B5*10,3))</f>
        <v>8.1579999999999995</v>
      </c>
      <c r="N179" s="36">
        <f>IF(Wildert1!L5=(""),(""),ROUND(Wildert1!L5/Wildert1!$B5*10,3))</f>
        <v>7.6319999999999997</v>
      </c>
      <c r="O179" s="36">
        <f>IF(Wildert1!M5=(""),(""),ROUND(Wildert1!M5/Wildert1!$B5*10,3))</f>
        <v>7.3680000000000003</v>
      </c>
      <c r="P179" s="36" t="str">
        <f>IF(Wildert1!N5=(""),(""),ROUND(Wildert1!N5/Wildert1!$B5*10,3))</f>
        <v/>
      </c>
      <c r="Q179" s="36">
        <f>IF(Wildert1!O5=(""),(""),ROUND(Wildert1!O5/Wildert1!$B5*10,3))</f>
        <v>6.5789999999999997</v>
      </c>
      <c r="R179" s="36">
        <f>IF(Wildert1!U5=(""),(""),ROUND(Wildert1!U5/Wildert1!$T5*10,3))</f>
        <v>7.1050000000000004</v>
      </c>
      <c r="S179" s="36" t="str">
        <f>IF(Wildert1!V5=(""),(""),ROUND(Wildert1!V5/Wildert1!$T5*10,3))</f>
        <v/>
      </c>
      <c r="T179" s="36" t="str">
        <f>IF(Wildert1!W5=(""),(""),ROUND(Wildert1!W5/Wildert1!$T5*10,3))</f>
        <v/>
      </c>
      <c r="U179" s="36" t="str">
        <f>IF(Wildert1!X5=(""),(""),ROUND(Wildert1!X5/Wildert1!$T5*10,3))</f>
        <v/>
      </c>
      <c r="V179" s="36" t="str">
        <f>IF(Wildert1!Y5=(""),(""),ROUND(Wildert1!Y5/Wildert1!$T5*10,3))</f>
        <v/>
      </c>
      <c r="W179" s="36" t="str">
        <f>IF(Wildert1!Z5=(""),(""),ROUND(Wildert1!Z5/Wildert1!$T5*10,3))</f>
        <v/>
      </c>
      <c r="X179" s="36" t="str">
        <f>IF(Wildert1!AA5=(""),(""),ROUND(Wildert1!AA5/Wildert1!$T5*10,3))</f>
        <v/>
      </c>
      <c r="Y179" s="36" t="str">
        <f>IF(Wildert1!AB5=(""),(""),ROUND(Wildert1!AB5/Wildert1!$T5*10,3))</f>
        <v/>
      </c>
      <c r="Z179" s="36" t="str">
        <f>IF(Wildert1!AC5=(""),(""),ROUND(Wildert1!AC5/Wildert1!$T5*10,3))</f>
        <v/>
      </c>
      <c r="AA179" s="36" t="str">
        <f>IF(Wildert1!AD5=(""),(""),ROUND(Wildert1!AD5/Wildert1!$T5*10,3))</f>
        <v/>
      </c>
      <c r="AB179" s="36" t="str">
        <f>IF(Wildert1!AE5=(""),(""),ROUND(Wildert1!AE5/Wildert1!$T5*10,3))</f>
        <v/>
      </c>
      <c r="AC179" s="36" t="str">
        <f>IF(Wildert1!AF5=(""),(""),ROUND(Wildert1!AF5/Wildert1!$T5*10,3))</f>
        <v/>
      </c>
      <c r="AD179" s="36" t="str">
        <f>IF(Wildert1!AG5=(""),(""),ROUND(Wildert1!AG5/Wildert1!$T5*10,3))</f>
        <v/>
      </c>
      <c r="AE179" s="36"/>
    </row>
    <row r="180" spans="1:31" ht="15" customHeight="1" x14ac:dyDescent="0.3">
      <c r="A180" s="27">
        <f t="shared" si="138"/>
        <v>9</v>
      </c>
      <c r="B180" s="38" t="str">
        <f>Wildert1!A6</f>
        <v>Buijk Jan  [NS 55]</v>
      </c>
      <c r="C180" s="32">
        <f>IF(Wildert1!AL6=0," ",SUM(E180:AD180))</f>
        <v>96.862000000000009</v>
      </c>
      <c r="E180" s="265">
        <f>IF(Wildert1!C6=(""),(""),ROUND(Wildert1!C6/55*10,3))</f>
        <v>10.727</v>
      </c>
      <c r="F180" s="265">
        <f>IF(Wildert1!D6=(""),(""),ROUND(Wildert1!D6/55*10,3))</f>
        <v>8.5449999999999999</v>
      </c>
      <c r="G180" s="265">
        <f>IF(Wildert1!E6=(""),(""),ROUND(Wildert1!E6/55*10,3))</f>
        <v>10.182</v>
      </c>
      <c r="H180" s="36" t="str">
        <f>IF(Wildert1!F6=(""),(""),ROUND(Wildert1!F6/Wildert1!$B6*10,3))</f>
        <v/>
      </c>
      <c r="I180" s="36">
        <f>IF(Wildert1!G6=(""),(""),ROUND(Wildert1!G6/Wildert1!$B6*10,3))</f>
        <v>16.111000000000001</v>
      </c>
      <c r="J180" s="36" t="str">
        <f>IF(Wildert1!H6=(""),(""),ROUND(Wildert1!H6/Wildert1!$B6*10,3))</f>
        <v/>
      </c>
      <c r="K180" s="36">
        <f>IF(Wildert1!I6=(""),(""),ROUND(Wildert1!I6/Wildert1!$B6*10,3))</f>
        <v>14.63</v>
      </c>
      <c r="L180" s="36">
        <f>IF(Wildert1!J6=(""),(""),ROUND(Wildert1!J6/Wildert1!$B6*10,3))</f>
        <v>6.8520000000000003</v>
      </c>
      <c r="M180" s="36" t="str">
        <f>IF(Wildert1!K6=(""),(""),ROUND(Wildert1!K6/Wildert1!$B6*10,3))</f>
        <v/>
      </c>
      <c r="N180" s="36">
        <f>IF(Wildert1!L6=(""),(""),ROUND(Wildert1!L6/Wildert1!$B6*10,3))</f>
        <v>12.593</v>
      </c>
      <c r="O180" s="36" t="str">
        <f>IF(Wildert1!M6=(""),(""),ROUND(Wildert1!M6/Wildert1!$B6*10,3))</f>
        <v/>
      </c>
      <c r="P180" s="36">
        <f>IF(Wildert1!N6=(""),(""),ROUND(Wildert1!N6/Wildert1!$B6*10,3))</f>
        <v>7.0369999999999999</v>
      </c>
      <c r="Q180" s="36">
        <f>IF(Wildert1!O6=(""),(""),ROUND(Wildert1!O6/Wildert1!$B6*10,3))</f>
        <v>10.185</v>
      </c>
      <c r="R180" s="36" t="str">
        <f>IF(Wildert1!U6=(""),(""),ROUND(Wildert1!U6/Wildert1!$T6*10,3))</f>
        <v/>
      </c>
      <c r="S180" s="36" t="str">
        <f>IF(Wildert1!V6=(""),(""),ROUND(Wildert1!V6/Wildert1!$T6*10,3))</f>
        <v/>
      </c>
      <c r="T180" s="36" t="str">
        <f>IF(Wildert1!W6=(""),(""),ROUND(Wildert1!W6/Wildert1!$T6*10,3))</f>
        <v/>
      </c>
      <c r="U180" s="36" t="str">
        <f>IF(Wildert1!X6=(""),(""),ROUND(Wildert1!X6/Wildert1!$T6*10,3))</f>
        <v/>
      </c>
      <c r="V180" s="36" t="str">
        <f>IF(Wildert1!Y6=(""),(""),ROUND(Wildert1!Y6/Wildert1!$T6*10,3))</f>
        <v/>
      </c>
      <c r="W180" s="36" t="str">
        <f>IF(Wildert1!Z6=(""),(""),ROUND(Wildert1!Z6/Wildert1!$T6*10,3))</f>
        <v/>
      </c>
      <c r="X180" s="36" t="str">
        <f>IF(Wildert1!AA6=(""),(""),ROUND(Wildert1!AA6/Wildert1!$T6*10,3))</f>
        <v/>
      </c>
      <c r="Y180" s="36" t="str">
        <f>IF(Wildert1!AB6=(""),(""),ROUND(Wildert1!AB6/Wildert1!$T6*10,3))</f>
        <v/>
      </c>
      <c r="Z180" s="36" t="str">
        <f>IF(Wildert1!AC6=(""),(""),ROUND(Wildert1!AC6/Wildert1!$T6*10,3))</f>
        <v/>
      </c>
      <c r="AA180" s="36" t="str">
        <f>IF(Wildert1!AD6=(""),(""),ROUND(Wildert1!AD6/Wildert1!$T6*10,3))</f>
        <v/>
      </c>
      <c r="AB180" s="36" t="str">
        <f>IF(Wildert1!AE6=(""),(""),ROUND(Wildert1!AE6/Wildert1!$T6*10,3))</f>
        <v/>
      </c>
      <c r="AC180" s="36" t="str">
        <f>IF(Wildert1!AF6=(""),(""),ROUND(Wildert1!AF6/Wildert1!$T6*10,3))</f>
        <v/>
      </c>
      <c r="AD180" s="36" t="str">
        <f>IF(Wildert1!AG6=(""),(""),ROUND(Wildert1!AG6/Wildert1!$T6*10,3))</f>
        <v/>
      </c>
      <c r="AE180" s="36"/>
    </row>
    <row r="181" spans="1:31" ht="15" customHeight="1" x14ac:dyDescent="0.3">
      <c r="A181" s="27">
        <f t="shared" si="138"/>
        <v>4</v>
      </c>
      <c r="B181" s="81" t="str">
        <f>Wildert1!A7</f>
        <v>Denissens Frans</v>
      </c>
      <c r="C181" s="32">
        <f>IF(Wildert1!AL7=0," ",SUM(E181:AD181))</f>
        <v>36.001000000000005</v>
      </c>
      <c r="E181" s="36" t="str">
        <f>IF(Wildert1!C7=(""),(""),ROUND(Wildert1!C7/Wildert1!$B7*10,3))</f>
        <v/>
      </c>
      <c r="F181" s="36" t="str">
        <f>IF(Wildert1!D7=(""),(""),ROUND(Wildert1!D7/Wildert1!$B7*10,3))</f>
        <v/>
      </c>
      <c r="G181" s="36" t="str">
        <f>IF(Wildert1!E7=(""),(""),ROUND(Wildert1!E7/Wildert1!$B7*10,3))</f>
        <v/>
      </c>
      <c r="H181" s="36">
        <f>IF(Wildert1!F7=(""),(""),ROUND(Wildert1!F7/Wildert1!$B7*10,3))</f>
        <v>6.6669999999999998</v>
      </c>
      <c r="I181" s="36" t="str">
        <f>IF(Wildert1!G7=(""),(""),ROUND(Wildert1!G7/Wildert1!$B7*10,3))</f>
        <v/>
      </c>
      <c r="J181" s="36">
        <f>IF(Wildert1!H7=(""),(""),ROUND(Wildert1!H7/Wildert1!$B7*10,3))</f>
        <v>16</v>
      </c>
      <c r="K181" s="36" t="str">
        <f>IF(Wildert1!I7=(""),(""),ROUND(Wildert1!I7/Wildert1!$B7*10,3))</f>
        <v/>
      </c>
      <c r="L181" s="36">
        <f>IF(Wildert1!J7=(""),(""),ROUND(Wildert1!J7/Wildert1!$B7*10,3))</f>
        <v>6.6669999999999998</v>
      </c>
      <c r="M181" s="36">
        <f>IF(Wildert1!K7=(""),(""),ROUND(Wildert1!K7/Wildert1!$B7*10,3))</f>
        <v>6.6669999999999998</v>
      </c>
      <c r="N181" s="36" t="str">
        <f>IF(Wildert1!L7=(""),(""),ROUND(Wildert1!L7/Wildert1!$B7*10,3))</f>
        <v/>
      </c>
      <c r="O181" s="36" t="str">
        <f>IF(Wildert1!M7=(""),(""),ROUND(Wildert1!M7/Wildert1!$B7*10,3))</f>
        <v/>
      </c>
      <c r="P181" s="36" t="str">
        <f>IF(Wildert1!N7=(""),(""),ROUND(Wildert1!N7/Wildert1!$B7*10,3))</f>
        <v/>
      </c>
      <c r="Q181" s="36" t="str">
        <f>IF(Wildert1!O7=(""),(""),ROUND(Wildert1!O7/Wildert1!$B7*10,3))</f>
        <v/>
      </c>
      <c r="R181" s="36" t="str">
        <f>IF(Wildert1!U7=(""),(""),ROUND(Wildert1!U7/Wildert1!$T7*10,3))</f>
        <v/>
      </c>
      <c r="S181" s="36" t="str">
        <f>IF(Wildert1!V7=(""),(""),ROUND(Wildert1!V7/Wildert1!$T7*10,3))</f>
        <v/>
      </c>
      <c r="T181" s="36" t="str">
        <f>IF(Wildert1!W7=(""),(""),ROUND(Wildert1!W7/Wildert1!$T7*10,3))</f>
        <v/>
      </c>
      <c r="U181" s="36" t="str">
        <f>IF(Wildert1!X7=(""),(""),ROUND(Wildert1!X7/Wildert1!$T7*10,3))</f>
        <v/>
      </c>
      <c r="V181" s="36" t="str">
        <f>IF(Wildert1!Y7=(""),(""),ROUND(Wildert1!Y7/Wildert1!$T7*10,3))</f>
        <v/>
      </c>
      <c r="W181" s="36" t="str">
        <f>IF(Wildert1!Z7=(""),(""),ROUND(Wildert1!Z7/Wildert1!$T7*10,3))</f>
        <v/>
      </c>
      <c r="X181" s="36" t="str">
        <f>IF(Wildert1!AA7=(""),(""),ROUND(Wildert1!AA7/Wildert1!$T7*10,3))</f>
        <v/>
      </c>
      <c r="Y181" s="36" t="str">
        <f>IF(Wildert1!AB7=(""),(""),ROUND(Wildert1!AB7/Wildert1!$T7*10,3))</f>
        <v/>
      </c>
      <c r="Z181" s="36" t="str">
        <f>IF(Wildert1!AC7=(""),(""),ROUND(Wildert1!AC7/Wildert1!$T7*10,3))</f>
        <v/>
      </c>
      <c r="AA181" s="36" t="str">
        <f>IF(Wildert1!AD7=(""),(""),ROUND(Wildert1!AD7/Wildert1!$T7*10,3))</f>
        <v/>
      </c>
      <c r="AB181" s="36" t="str">
        <f>IF(Wildert1!AE7=(""),(""),ROUND(Wildert1!AE7/Wildert1!$T7*10,3))</f>
        <v/>
      </c>
      <c r="AC181" s="36" t="str">
        <f>IF(Wildert1!AF7=(""),(""),ROUND(Wildert1!AF7/Wildert1!$T7*10,3))</f>
        <v/>
      </c>
      <c r="AD181" s="36" t="str">
        <f>IF(Wildert1!AG7=(""),(""),ROUND(Wildert1!AG7/Wildert1!$T7*10,3))</f>
        <v/>
      </c>
      <c r="AE181" s="36"/>
    </row>
    <row r="182" spans="1:31" ht="15" customHeight="1" x14ac:dyDescent="0.3">
      <c r="A182" s="27">
        <f t="shared" si="138"/>
        <v>8</v>
      </c>
      <c r="B182" s="80" t="str">
        <f>Wildert1!A8</f>
        <v>Dries Louis</v>
      </c>
      <c r="C182" s="32">
        <f>IF(Wildert1!AL8=0," ",SUM(E182:AD182))</f>
        <v>78.12700000000001</v>
      </c>
      <c r="E182" s="36" t="str">
        <f>IF(Wildert1!C8=(""),(""),ROUND(Wildert1!C8/Wildert1!$B8*10,3))</f>
        <v/>
      </c>
      <c r="F182" s="36">
        <f>IF(Wildert1!D8=(""),(""),ROUND(Wildert1!D8/Wildert1!$B8*10,3))</f>
        <v>7.1879999999999997</v>
      </c>
      <c r="G182" s="36">
        <f>IF(Wildert1!E8=(""),(""),ROUND(Wildert1!E8/Wildert1!$B8*10,3))</f>
        <v>9.6880000000000006</v>
      </c>
      <c r="H182" s="36" t="str">
        <f>IF(Wildert1!F8=(""),(""),ROUND(Wildert1!F8/Wildert1!$B8*10,3))</f>
        <v/>
      </c>
      <c r="I182" s="36" t="str">
        <f>IF(Wildert1!G8=(""),(""),ROUND(Wildert1!G8/Wildert1!$B8*10,3))</f>
        <v/>
      </c>
      <c r="J182" s="36">
        <f>IF(Wildert1!H8=(""),(""),ROUND(Wildert1!H8/Wildert1!$B8*10,3))</f>
        <v>10.625</v>
      </c>
      <c r="K182" s="36">
        <f>IF(Wildert1!I8=(""),(""),ROUND(Wildert1!I8/Wildert1!$B8*10,3))</f>
        <v>17.5</v>
      </c>
      <c r="L182" s="36">
        <f>IF(Wildert1!J8=(""),(""),ROUND(Wildert1!J8/Wildert1!$B8*10,3))</f>
        <v>10.938000000000001</v>
      </c>
      <c r="M182" s="36">
        <f>IF(Wildert1!K8=(""),(""),ROUND(Wildert1!K8/Wildert1!$B8*10,3))</f>
        <v>7.1879999999999997</v>
      </c>
      <c r="N182" s="36" t="str">
        <f>IF(Wildert1!L8=(""),(""),ROUND(Wildert1!L8/Wildert1!$B8*10,3))</f>
        <v/>
      </c>
      <c r="O182" s="36">
        <f>IF(Wildert1!M8=(""),(""),ROUND(Wildert1!M8/Wildert1!$B8*10,3))</f>
        <v>6.25</v>
      </c>
      <c r="P182" s="36" t="str">
        <f>IF(Wildert1!N8=(""),(""),ROUND(Wildert1!N8/Wildert1!$B8*10,3))</f>
        <v/>
      </c>
      <c r="Q182" s="36" t="str">
        <f>IF(Wildert1!O8=(""),(""),ROUND(Wildert1!O8/Wildert1!$B8*10,3))</f>
        <v/>
      </c>
      <c r="R182" s="36">
        <f>IF(Wildert1!U8=(""),(""),ROUND(Wildert1!U8/Wildert1!$T8*10,3))</f>
        <v>8.75</v>
      </c>
      <c r="S182" s="36" t="str">
        <f>IF(Wildert1!V8=(""),(""),ROUND(Wildert1!V8/Wildert1!$T8*10,3))</f>
        <v/>
      </c>
      <c r="T182" s="36" t="str">
        <f>IF(Wildert1!W8=(""),(""),ROUND(Wildert1!W8/Wildert1!$T8*10,3))</f>
        <v/>
      </c>
      <c r="U182" s="36" t="str">
        <f>IF(Wildert1!X8=(""),(""),ROUND(Wildert1!X8/Wildert1!$T8*10,3))</f>
        <v/>
      </c>
      <c r="V182" s="36" t="str">
        <f>IF(Wildert1!Y8=(""),(""),ROUND(Wildert1!Y8/Wildert1!$T8*10,3))</f>
        <v/>
      </c>
      <c r="W182" s="36" t="str">
        <f>IF(Wildert1!Z8=(""),(""),ROUND(Wildert1!Z8/Wildert1!$T8*10,3))</f>
        <v/>
      </c>
      <c r="X182" s="36" t="str">
        <f>IF(Wildert1!AA8=(""),(""),ROUND(Wildert1!AA8/Wildert1!$T8*10,3))</f>
        <v/>
      </c>
      <c r="Y182" s="36" t="str">
        <f>IF(Wildert1!AB8=(""),(""),ROUND(Wildert1!AB8/Wildert1!$T8*10,3))</f>
        <v/>
      </c>
      <c r="Z182" s="36" t="str">
        <f>IF(Wildert1!AC8=(""),(""),ROUND(Wildert1!AC8/Wildert1!$T8*10,3))</f>
        <v/>
      </c>
      <c r="AA182" s="36" t="str">
        <f>IF(Wildert1!AD8=(""),(""),ROUND(Wildert1!AD8/Wildert1!$T8*10,3))</f>
        <v/>
      </c>
      <c r="AB182" s="36" t="str">
        <f>IF(Wildert1!AE8=(""),(""),ROUND(Wildert1!AE8/Wildert1!$T8*10,3))</f>
        <v/>
      </c>
      <c r="AC182" s="36" t="str">
        <f>IF(Wildert1!AF8=(""),(""),ROUND(Wildert1!AF8/Wildert1!$T8*10,3))</f>
        <v/>
      </c>
      <c r="AD182" s="36" t="str">
        <f>IF(Wildert1!AG8=(""),(""),ROUND(Wildert1!AG8/Wildert1!$T8*10,3))</f>
        <v/>
      </c>
      <c r="AE182" s="36"/>
    </row>
    <row r="183" spans="1:31" ht="15" customHeight="1" x14ac:dyDescent="0.3">
      <c r="A183" s="27">
        <f t="shared" si="138"/>
        <v>4</v>
      </c>
      <c r="B183" s="28" t="str">
        <f>Wildert1!A9</f>
        <v>Kerstens Marc</v>
      </c>
      <c r="C183" s="32">
        <f>IF(Wildert1!AL9=0," ",SUM(E183:AD183))</f>
        <v>53.158000000000001</v>
      </c>
      <c r="E183" s="36">
        <f>IF(Wildert1!C9=(""),(""),ROUND(Wildert1!C9/Wildert1!$B9*10,3))</f>
        <v>15.263</v>
      </c>
      <c r="F183" s="36">
        <f>IF(Wildert1!D9=(""),(""),ROUND(Wildert1!D9/Wildert1!$B9*10,3))</f>
        <v>10</v>
      </c>
      <c r="G183" s="36" t="str">
        <f>IF(Wildert1!E9=(""),(""),ROUND(Wildert1!E9/Wildert1!$B9*10,3))</f>
        <v/>
      </c>
      <c r="H183" s="36" t="str">
        <f>IF(Wildert1!F9=(""),(""),ROUND(Wildert1!F9/Wildert1!$B9*10,3))</f>
        <v/>
      </c>
      <c r="I183" s="36" t="str">
        <f>IF(Wildert1!G9=(""),(""),ROUND(Wildert1!G9/Wildert1!$B9*10,3))</f>
        <v/>
      </c>
      <c r="J183" s="36" t="str">
        <f>IF(Wildert1!H9=(""),(""),ROUND(Wildert1!H9/Wildert1!$B9*10,3))</f>
        <v/>
      </c>
      <c r="K183" s="36" t="str">
        <f>IF(Wildert1!I9=(""),(""),ROUND(Wildert1!I9/Wildert1!$B9*10,3))</f>
        <v/>
      </c>
      <c r="L183" s="36" t="str">
        <f>IF(Wildert1!J9=(""),(""),ROUND(Wildert1!J9/Wildert1!$B9*10,3))</f>
        <v/>
      </c>
      <c r="M183" s="36" t="str">
        <f>IF(Wildert1!K9=(""),(""),ROUND(Wildert1!K9/Wildert1!$B9*10,3))</f>
        <v/>
      </c>
      <c r="N183" s="36">
        <f>IF(Wildert1!L9=(""),(""),ROUND(Wildert1!L9/Wildert1!$B9*10,3))</f>
        <v>16.841999999999999</v>
      </c>
      <c r="O183" s="36" t="str">
        <f>IF(Wildert1!M9=(""),(""),ROUND(Wildert1!M9/Wildert1!$B9*10,3))</f>
        <v/>
      </c>
      <c r="P183" s="36">
        <f>IF(Wildert1!N9=(""),(""),ROUND(Wildert1!N9/Wildert1!$B9*10,3))</f>
        <v>11.053000000000001</v>
      </c>
      <c r="Q183" s="36" t="str">
        <f>IF(Wildert1!O9=(""),(""),ROUND(Wildert1!O9/Wildert1!$B9*10,3))</f>
        <v/>
      </c>
      <c r="R183" s="36" t="str">
        <f>IF(Wildert1!U9=(""),(""),ROUND(Wildert1!U9/Wildert1!$T9*10,3))</f>
        <v/>
      </c>
      <c r="S183" s="36" t="str">
        <f>IF(Wildert1!V9=(""),(""),ROUND(Wildert1!V9/Wildert1!$T9*10,3))</f>
        <v/>
      </c>
      <c r="T183" s="36" t="str">
        <f>IF(Wildert1!W9=(""),(""),ROUND(Wildert1!W9/Wildert1!$T9*10,3))</f>
        <v/>
      </c>
      <c r="U183" s="36" t="str">
        <f>IF(Wildert1!X9=(""),(""),ROUND(Wildert1!X9/Wildert1!$T9*10,3))</f>
        <v/>
      </c>
      <c r="V183" s="36" t="str">
        <f>IF(Wildert1!Y9=(""),(""),ROUND(Wildert1!Y9/Wildert1!$T9*10,3))</f>
        <v/>
      </c>
      <c r="W183" s="36" t="str">
        <f>IF(Wildert1!Z9=(""),(""),ROUND(Wildert1!Z9/Wildert1!$T9*10,3))</f>
        <v/>
      </c>
      <c r="X183" s="36" t="str">
        <f>IF(Wildert1!AA9=(""),(""),ROUND(Wildert1!AA9/Wildert1!$T9*10,3))</f>
        <v/>
      </c>
      <c r="Y183" s="36" t="str">
        <f>IF(Wildert1!AB9=(""),(""),ROUND(Wildert1!AB9/Wildert1!$T9*10,3))</f>
        <v/>
      </c>
      <c r="Z183" s="36" t="str">
        <f>IF(Wildert1!AC9=(""),(""),ROUND(Wildert1!AC9/Wildert1!$T9*10,3))</f>
        <v/>
      </c>
      <c r="AA183" s="36" t="str">
        <f>IF(Wildert1!AD9=(""),(""),ROUND(Wildert1!AD9/Wildert1!$T9*10,3))</f>
        <v/>
      </c>
      <c r="AB183" s="36" t="str">
        <f>IF(Wildert1!AE9=(""),(""),ROUND(Wildert1!AE9/Wildert1!$T9*10,3))</f>
        <v/>
      </c>
      <c r="AC183" s="36" t="str">
        <f>IF(Wildert1!AF9=(""),(""),ROUND(Wildert1!AF9/Wildert1!$T9*10,3))</f>
        <v/>
      </c>
      <c r="AD183" s="36" t="str">
        <f>IF(Wildert1!AG9=(""),(""),ROUND(Wildert1!AG9/Wildert1!$T9*10,3))</f>
        <v/>
      </c>
      <c r="AE183" s="36"/>
    </row>
    <row r="184" spans="1:31" ht="15" customHeight="1" x14ac:dyDescent="0.3">
      <c r="A184" s="27">
        <f t="shared" si="138"/>
        <v>4</v>
      </c>
      <c r="B184" s="28" t="str">
        <f>Wildert1!A10</f>
        <v>Kerstens Ronald</v>
      </c>
      <c r="C184" s="32">
        <f>IF(Wildert1!AL10=0," ",SUM(E184:AD184))</f>
        <v>39.048000000000002</v>
      </c>
      <c r="E184" s="36">
        <f>IF(Wildert1!C10=(""),(""),ROUND(Wildert1!C10/Wildert1!$B10*10,3))</f>
        <v>8.0950000000000006</v>
      </c>
      <c r="F184" s="36" t="str">
        <f>IF(Wildert1!D10=(""),(""),ROUND(Wildert1!D10/Wildert1!$B10*10,3))</f>
        <v/>
      </c>
      <c r="G184" s="36">
        <f>IF(Wildert1!E10=(""),(""),ROUND(Wildert1!E10/Wildert1!$B10*10,3))</f>
        <v>10.476000000000001</v>
      </c>
      <c r="H184" s="36" t="str">
        <f>IF(Wildert1!F10=(""),(""),ROUND(Wildert1!F10/Wildert1!$B10*10,3))</f>
        <v/>
      </c>
      <c r="I184" s="36" t="str">
        <f>IF(Wildert1!G10=(""),(""),ROUND(Wildert1!G10/Wildert1!$B10*10,3))</f>
        <v/>
      </c>
      <c r="J184" s="36" t="str">
        <f>IF(Wildert1!H10=(""),(""),ROUND(Wildert1!H10/Wildert1!$B10*10,3))</f>
        <v/>
      </c>
      <c r="K184" s="36" t="str">
        <f>IF(Wildert1!I10=(""),(""),ROUND(Wildert1!I10/Wildert1!$B10*10,3))</f>
        <v/>
      </c>
      <c r="L184" s="36" t="str">
        <f>IF(Wildert1!J10=(""),(""),ROUND(Wildert1!J10/Wildert1!$B10*10,3))</f>
        <v/>
      </c>
      <c r="M184" s="36" t="str">
        <f>IF(Wildert1!K10=(""),(""),ROUND(Wildert1!K10/Wildert1!$B10*10,3))</f>
        <v/>
      </c>
      <c r="N184" s="36" t="str">
        <f>IF(Wildert1!L10=(""),(""),ROUND(Wildert1!L10/Wildert1!$B10*10,3))</f>
        <v/>
      </c>
      <c r="O184" s="36" t="str">
        <f>IF(Wildert1!M10=(""),(""),ROUND(Wildert1!M10/Wildert1!$B10*10,3))</f>
        <v/>
      </c>
      <c r="P184" s="36">
        <f>IF(Wildert1!N10=(""),(""),ROUND(Wildert1!N10/Wildert1!$B10*10,3))</f>
        <v>13.81</v>
      </c>
      <c r="Q184" s="36">
        <f>IF(Wildert1!O10=(""),(""),ROUND(Wildert1!O10/Wildert1!$B10*10,3))</f>
        <v>6.6669999999999998</v>
      </c>
      <c r="R184" s="36" t="str">
        <f>IF(Wildert1!U10=(""),(""),ROUND(Wildert1!U10/Wildert1!$T10*10,3))</f>
        <v/>
      </c>
      <c r="S184" s="36" t="str">
        <f>IF(Wildert1!V10=(""),(""),ROUND(Wildert1!V10/Wildert1!$T10*10,3))</f>
        <v/>
      </c>
      <c r="T184" s="36" t="str">
        <f>IF(Wildert1!W10=(""),(""),ROUND(Wildert1!W10/Wildert1!$T10*10,3))</f>
        <v/>
      </c>
      <c r="U184" s="36" t="str">
        <f>IF(Wildert1!X10=(""),(""),ROUND(Wildert1!X10/Wildert1!$T10*10,3))</f>
        <v/>
      </c>
      <c r="V184" s="36" t="str">
        <f>IF(Wildert1!Y10=(""),(""),ROUND(Wildert1!Y10/Wildert1!$T10*10,3))</f>
        <v/>
      </c>
      <c r="W184" s="36" t="str">
        <f>IF(Wildert1!Z10=(""),(""),ROUND(Wildert1!Z10/Wildert1!$T10*10,3))</f>
        <v/>
      </c>
      <c r="X184" s="36" t="str">
        <f>IF(Wildert1!AA10=(""),(""),ROUND(Wildert1!AA10/Wildert1!$T10*10,3))</f>
        <v/>
      </c>
      <c r="Y184" s="36" t="str">
        <f>IF(Wildert1!AB10=(""),(""),ROUND(Wildert1!AB10/Wildert1!$T10*10,3))</f>
        <v/>
      </c>
      <c r="Z184" s="36" t="str">
        <f>IF(Wildert1!AC10=(""),(""),ROUND(Wildert1!AC10/Wildert1!$T10*10,3))</f>
        <v/>
      </c>
      <c r="AA184" s="36" t="str">
        <f>IF(Wildert1!AD10=(""),(""),ROUND(Wildert1!AD10/Wildert1!$T10*10,3))</f>
        <v/>
      </c>
      <c r="AB184" s="36" t="str">
        <f>IF(Wildert1!AE10=(""),(""),ROUND(Wildert1!AE10/Wildert1!$T10*10,3))</f>
        <v/>
      </c>
      <c r="AC184" s="36" t="str">
        <f>IF(Wildert1!AF10=(""),(""),ROUND(Wildert1!AF10/Wildert1!$T10*10,3))</f>
        <v/>
      </c>
      <c r="AD184" s="36" t="str">
        <f>IF(Wildert1!AG10=(""),(""),ROUND(Wildert1!AG10/Wildert1!$T10*10,3))</f>
        <v/>
      </c>
      <c r="AE184" s="36"/>
    </row>
    <row r="185" spans="1:31" ht="15" customHeight="1" x14ac:dyDescent="0.3">
      <c r="A185" s="27">
        <f t="shared" si="138"/>
        <v>6</v>
      </c>
      <c r="B185" s="28" t="str">
        <f>Wildert1!A11</f>
        <v xml:space="preserve">Konings Guido </v>
      </c>
      <c r="C185" s="32">
        <f>IF(Wildert1!AL11=0," ",SUM(E185:AD185))</f>
        <v>82.084000000000003</v>
      </c>
      <c r="E185" s="36" t="str">
        <f>IF(Wildert1!C11=(""),(""),ROUND(Wildert1!C11/Wildert1!$B11*10,3))</f>
        <v/>
      </c>
      <c r="F185" s="36" t="str">
        <f>IF(Wildert1!D11=(""),(""),ROUND(Wildert1!D11/Wildert1!$B11*10,3))</f>
        <v/>
      </c>
      <c r="G185" s="36">
        <f>IF(Wildert1!E11=(""),(""),ROUND(Wildert1!E11/Wildert1!$B11*10,3))</f>
        <v>13.75</v>
      </c>
      <c r="H185" s="36" t="str">
        <f>IF(Wildert1!F11=(""),(""),ROUND(Wildert1!F11/Wildert1!$B11*10,3))</f>
        <v/>
      </c>
      <c r="I185" s="36">
        <f>IF(Wildert1!G11=(""),(""),ROUND(Wildert1!G11/Wildert1!$B11*10,3))</f>
        <v>7.5</v>
      </c>
      <c r="J185" s="36" t="str">
        <f>IF(Wildert1!H11=(""),(""),ROUND(Wildert1!H11/Wildert1!$B11*10,3))</f>
        <v/>
      </c>
      <c r="K185" s="36">
        <f>IF(Wildert1!I11=(""),(""),ROUND(Wildert1!I11/Wildert1!$B11*10,3))</f>
        <v>12.917</v>
      </c>
      <c r="L185" s="36">
        <f>IF(Wildert1!J11=(""),(""),ROUND(Wildert1!J11/Wildert1!$B11*10,3))</f>
        <v>20</v>
      </c>
      <c r="M185" s="36">
        <f>IF(Wildert1!K11=(""),(""),ROUND(Wildert1!K11/Wildert1!$B11*10,3))</f>
        <v>14.167</v>
      </c>
      <c r="N185" s="36" t="str">
        <f>IF(Wildert1!L11=(""),(""),ROUND(Wildert1!L11/Wildert1!$B11*10,3))</f>
        <v/>
      </c>
      <c r="O185" s="36" t="str">
        <f>IF(Wildert1!M11=(""),(""),ROUND(Wildert1!M11/Wildert1!$B11*10,3))</f>
        <v/>
      </c>
      <c r="P185" s="36" t="str">
        <f>IF(Wildert1!N11=(""),(""),ROUND(Wildert1!N11/Wildert1!$B11*10,3))</f>
        <v/>
      </c>
      <c r="Q185" s="36">
        <f>IF(Wildert1!O11=(""),(""),ROUND(Wildert1!O11/Wildert1!$B11*10,3))</f>
        <v>13.75</v>
      </c>
      <c r="R185" s="36" t="str">
        <f>IF(Wildert1!U11=(""),(""),ROUND(Wildert1!U11/Wildert1!$T11*10,3))</f>
        <v/>
      </c>
      <c r="S185" s="36" t="str">
        <f>IF(Wildert1!V11=(""),(""),ROUND(Wildert1!V11/Wildert1!$T11*10,3))</f>
        <v/>
      </c>
      <c r="T185" s="36" t="str">
        <f>IF(Wildert1!W11=(""),(""),ROUND(Wildert1!W11/Wildert1!$T11*10,3))</f>
        <v/>
      </c>
      <c r="U185" s="36" t="str">
        <f>IF(Wildert1!X11=(""),(""),ROUND(Wildert1!X11/Wildert1!$T11*10,3))</f>
        <v/>
      </c>
      <c r="V185" s="36" t="str">
        <f>IF(Wildert1!Y11=(""),(""),ROUND(Wildert1!Y11/Wildert1!$T11*10,3))</f>
        <v/>
      </c>
      <c r="W185" s="36" t="str">
        <f>IF(Wildert1!Z11=(""),(""),ROUND(Wildert1!Z11/Wildert1!$T11*10,3))</f>
        <v/>
      </c>
      <c r="X185" s="36" t="str">
        <f>IF(Wildert1!AA11=(""),(""),ROUND(Wildert1!AA11/Wildert1!$T11*10,3))</f>
        <v/>
      </c>
      <c r="Y185" s="36" t="str">
        <f>IF(Wildert1!AB11=(""),(""),ROUND(Wildert1!AB11/Wildert1!$T11*10,3))</f>
        <v/>
      </c>
      <c r="Z185" s="36" t="str">
        <f>IF(Wildert1!AC11=(""),(""),ROUND(Wildert1!AC11/Wildert1!$T11*10,3))</f>
        <v/>
      </c>
      <c r="AA185" s="36" t="str">
        <f>IF(Wildert1!AD11=(""),(""),ROUND(Wildert1!AD11/Wildert1!$T11*10,3))</f>
        <v/>
      </c>
      <c r="AB185" s="36" t="str">
        <f>IF(Wildert1!AE11=(""),(""),ROUND(Wildert1!AE11/Wildert1!$T11*10,3))</f>
        <v/>
      </c>
      <c r="AC185" s="36" t="str">
        <f>IF(Wildert1!AF11=(""),(""),ROUND(Wildert1!AF11/Wildert1!$T11*10,3))</f>
        <v/>
      </c>
      <c r="AD185" s="36" t="str">
        <f>IF(Wildert1!AG11=(""),(""),ROUND(Wildert1!AG11/Wildert1!$T11*10,3))</f>
        <v/>
      </c>
      <c r="AE185" s="36"/>
    </row>
    <row r="186" spans="1:31" ht="15" customHeight="1" x14ac:dyDescent="0.3">
      <c r="A186" s="27">
        <f t="shared" si="138"/>
        <v>8</v>
      </c>
      <c r="B186" s="28" t="str">
        <f>Wildert1!A12</f>
        <v xml:space="preserve">Kustermans Toon </v>
      </c>
      <c r="C186" s="32">
        <f>IF(Wildert1!AL12=0," ",SUM(E186:AD186))</f>
        <v>73.946999999999989</v>
      </c>
      <c r="E186" s="36">
        <f>IF(Wildert1!C12=(""),(""),ROUND(Wildert1!C12/Wildert1!$B12*10,3))</f>
        <v>10.526</v>
      </c>
      <c r="F186" s="36" t="str">
        <f>IF(Wildert1!D12=(""),(""),ROUND(Wildert1!D12/Wildert1!$B12*10,3))</f>
        <v/>
      </c>
      <c r="G186" s="36">
        <f>IF(Wildert1!E12=(""),(""),ROUND(Wildert1!E12/Wildert1!$B12*10,3))</f>
        <v>8.1579999999999995</v>
      </c>
      <c r="H186" s="36">
        <f>IF(Wildert1!F12=(""),(""),ROUND(Wildert1!F12/Wildert1!$B12*10,3))</f>
        <v>7.3680000000000003</v>
      </c>
      <c r="I186" s="36">
        <f>IF(Wildert1!G12=(""),(""),ROUND(Wildert1!G12/Wildert1!$B12*10,3))</f>
        <v>13.683999999999999</v>
      </c>
      <c r="J186" s="36" t="str">
        <f>IF(Wildert1!H12=(""),(""),ROUND(Wildert1!H12/Wildert1!$B12*10,3))</f>
        <v/>
      </c>
      <c r="K186" s="36">
        <f>IF(Wildert1!I12=(""),(""),ROUND(Wildert1!I12/Wildert1!$B12*10,3))</f>
        <v>7.8949999999999996</v>
      </c>
      <c r="L186" s="36" t="str">
        <f>IF(Wildert1!J12=(""),(""),ROUND(Wildert1!J12/Wildert1!$B12*10,3))</f>
        <v/>
      </c>
      <c r="M186" s="36" t="str">
        <f>IF(Wildert1!K12=(""),(""),ROUND(Wildert1!K12/Wildert1!$B12*10,3))</f>
        <v/>
      </c>
      <c r="N186" s="36">
        <f>IF(Wildert1!L12=(""),(""),ROUND(Wildert1!L12/Wildert1!$B12*10,3))</f>
        <v>7.6319999999999997</v>
      </c>
      <c r="O186" s="36" t="str">
        <f>IF(Wildert1!M12=(""),(""),ROUND(Wildert1!M12/Wildert1!$B12*10,3))</f>
        <v/>
      </c>
      <c r="P186" s="36">
        <f>IF(Wildert1!N12=(""),(""),ROUND(Wildert1!N12/Wildert1!$B12*10,3))</f>
        <v>8.9469999999999992</v>
      </c>
      <c r="Q186" s="36" t="str">
        <f>IF(Wildert1!O12=(""),(""),ROUND(Wildert1!O12/Wildert1!$B12*10,3))</f>
        <v/>
      </c>
      <c r="R186" s="36">
        <f>IF(Wildert1!U12=(""),(""),ROUND(Wildert1!U12/Wildert1!$T12*10,3))</f>
        <v>9.7370000000000001</v>
      </c>
      <c r="S186" s="36" t="str">
        <f>IF(Wildert1!V12=(""),(""),ROUND(Wildert1!V12/Wildert1!$T12*10,3))</f>
        <v/>
      </c>
      <c r="T186" s="36" t="str">
        <f>IF(Wildert1!W12=(""),(""),ROUND(Wildert1!W12/Wildert1!$T12*10,3))</f>
        <v/>
      </c>
      <c r="U186" s="36" t="str">
        <f>IF(Wildert1!X12=(""),(""),ROUND(Wildert1!X12/Wildert1!$T12*10,3))</f>
        <v/>
      </c>
      <c r="V186" s="36" t="str">
        <f>IF(Wildert1!Y12=(""),(""),ROUND(Wildert1!Y12/Wildert1!$T12*10,3))</f>
        <v/>
      </c>
      <c r="W186" s="36" t="str">
        <f>IF(Wildert1!Z12=(""),(""),ROUND(Wildert1!Z12/Wildert1!$T12*10,3))</f>
        <v/>
      </c>
      <c r="X186" s="36" t="str">
        <f>IF(Wildert1!AA12=(""),(""),ROUND(Wildert1!AA12/Wildert1!$T12*10,3))</f>
        <v/>
      </c>
      <c r="Y186" s="36" t="str">
        <f>IF(Wildert1!AB12=(""),(""),ROUND(Wildert1!AB12/Wildert1!$T12*10,3))</f>
        <v/>
      </c>
      <c r="Z186" s="36" t="str">
        <f>IF(Wildert1!AC12=(""),(""),ROUND(Wildert1!AC12/Wildert1!$T12*10,3))</f>
        <v/>
      </c>
      <c r="AA186" s="36" t="str">
        <f>IF(Wildert1!AD12=(""),(""),ROUND(Wildert1!AD12/Wildert1!$T12*10,3))</f>
        <v/>
      </c>
      <c r="AB186" s="36" t="str">
        <f>IF(Wildert1!AE12=(""),(""),ROUND(Wildert1!AE12/Wildert1!$T12*10,3))</f>
        <v/>
      </c>
      <c r="AC186" s="36" t="str">
        <f>IF(Wildert1!AF12=(""),(""),ROUND(Wildert1!AF12/Wildert1!$T12*10,3))</f>
        <v/>
      </c>
      <c r="AD186" s="36" t="str">
        <f>IF(Wildert1!AG12=(""),(""),ROUND(Wildert1!AG12/Wildert1!$T12*10,3))</f>
        <v/>
      </c>
      <c r="AE186" s="36"/>
    </row>
    <row r="187" spans="1:31" ht="15" customHeight="1" x14ac:dyDescent="0.3">
      <c r="A187" s="27">
        <f t="shared" si="138"/>
        <v>7</v>
      </c>
      <c r="B187" s="28" t="str">
        <f>Wildert1!A13</f>
        <v xml:space="preserve">Sarra-Ribo Jef      </v>
      </c>
      <c r="C187" s="32">
        <f>IF(Wildert1!AL13=0," ",SUM(E187:AD187))</f>
        <v>65.795000000000002</v>
      </c>
      <c r="E187" s="36" t="str">
        <f>IF(Wildert1!C13=(""),(""),ROUND(Wildert1!C13/Wildert1!$B13*10,3))</f>
        <v/>
      </c>
      <c r="F187" s="36" t="str">
        <f>IF(Wildert1!D13=(""),(""),ROUND(Wildert1!D13/Wildert1!$B13*10,3))</f>
        <v/>
      </c>
      <c r="G187" s="36" t="str">
        <f>IF(Wildert1!E13=(""),(""),ROUND(Wildert1!E13/Wildert1!$B13*10,3))</f>
        <v/>
      </c>
      <c r="H187" s="36">
        <f>IF(Wildert1!F13=(""),(""),ROUND(Wildert1!F13/Wildert1!$B13*10,3))</f>
        <v>13.635999999999999</v>
      </c>
      <c r="I187" s="36">
        <f>IF(Wildert1!G13=(""),(""),ROUND(Wildert1!G13/Wildert1!$B13*10,3))</f>
        <v>13.068</v>
      </c>
      <c r="J187" s="36">
        <f>IF(Wildert1!H13=(""),(""),ROUND(Wildert1!H13/Wildert1!$B13*10,3))</f>
        <v>9.5449999999999999</v>
      </c>
      <c r="K187" s="36" t="str">
        <f>IF(Wildert1!I13=(""),(""),ROUND(Wildert1!I13/Wildert1!$B13*10,3))</f>
        <v/>
      </c>
      <c r="L187" s="36" t="str">
        <f>IF(Wildert1!J13=(""),(""),ROUND(Wildert1!J13/Wildert1!$B13*10,3))</f>
        <v/>
      </c>
      <c r="M187" s="36">
        <f>IF(Wildert1!K13=(""),(""),ROUND(Wildert1!K13/Wildert1!$B13*10,3))</f>
        <v>6.3639999999999999</v>
      </c>
      <c r="N187" s="36">
        <f>IF(Wildert1!L13=(""),(""),ROUND(Wildert1!L13/Wildert1!$B13*10,3))</f>
        <v>9.2050000000000001</v>
      </c>
      <c r="O187" s="36">
        <f>IF(Wildert1!M13=(""),(""),ROUND(Wildert1!M13/Wildert1!$B13*10,3))</f>
        <v>7.3860000000000001</v>
      </c>
      <c r="P187" s="36" t="str">
        <f>IF(Wildert1!N13=(""),(""),ROUND(Wildert1!N13/Wildert1!$B13*10,3))</f>
        <v/>
      </c>
      <c r="Q187" s="36">
        <f>IF(Wildert1!O13=(""),(""),ROUND(Wildert1!O13/Wildert1!$B13*10,3))</f>
        <v>6.5910000000000002</v>
      </c>
      <c r="R187" s="36" t="str">
        <f>IF(Wildert1!U13=(""),(""),ROUND(Wildert1!U13/Wildert1!$T13*10,3))</f>
        <v/>
      </c>
      <c r="S187" s="36" t="str">
        <f>IF(Wildert1!V13=(""),(""),ROUND(Wildert1!V13/Wildert1!$T13*10,3))</f>
        <v/>
      </c>
      <c r="T187" s="36" t="str">
        <f>IF(Wildert1!W13=(""),(""),ROUND(Wildert1!W13/Wildert1!$T13*10,3))</f>
        <v/>
      </c>
      <c r="U187" s="36" t="str">
        <f>IF(Wildert1!X13=(""),(""),ROUND(Wildert1!X13/Wildert1!$T13*10,3))</f>
        <v/>
      </c>
      <c r="V187" s="36" t="str">
        <f>IF(Wildert1!Y13=(""),(""),ROUND(Wildert1!Y13/Wildert1!$T13*10,3))</f>
        <v/>
      </c>
      <c r="W187" s="36" t="str">
        <f>IF(Wildert1!Z13=(""),(""),ROUND(Wildert1!Z13/Wildert1!$T13*10,3))</f>
        <v/>
      </c>
      <c r="X187" s="36" t="str">
        <f>IF(Wildert1!AA13=(""),(""),ROUND(Wildert1!AA13/Wildert1!$T13*10,3))</f>
        <v/>
      </c>
      <c r="Y187" s="36" t="str">
        <f>IF(Wildert1!AB13=(""),(""),ROUND(Wildert1!AB13/Wildert1!$T13*10,3))</f>
        <v/>
      </c>
      <c r="Z187" s="36" t="str">
        <f>IF(Wildert1!AC13=(""),(""),ROUND(Wildert1!AC13/Wildert1!$T13*10,3))</f>
        <v/>
      </c>
      <c r="AA187" s="36" t="str">
        <f>IF(Wildert1!AD13=(""),(""),ROUND(Wildert1!AD13/Wildert1!$T13*10,3))</f>
        <v/>
      </c>
      <c r="AB187" s="36" t="str">
        <f>IF(Wildert1!AE13=(""),(""),ROUND(Wildert1!AE13/Wildert1!$T13*10,3))</f>
        <v/>
      </c>
      <c r="AC187" s="36" t="str">
        <f>IF(Wildert1!AF13=(""),(""),ROUND(Wildert1!AF13/Wildert1!$T13*10,3))</f>
        <v/>
      </c>
      <c r="AD187" s="36" t="str">
        <f>IF(Wildert1!AG13=(""),(""),ROUND(Wildert1!AG13/Wildert1!$T13*10,3))</f>
        <v/>
      </c>
      <c r="AE187" s="36"/>
    </row>
    <row r="188" spans="1:31" ht="15" customHeight="1" x14ac:dyDescent="0.3">
      <c r="A188" s="27">
        <f t="shared" si="138"/>
        <v>6</v>
      </c>
      <c r="B188" s="28" t="str">
        <f>Wildert1!A14</f>
        <v>Sas Ronny</v>
      </c>
      <c r="C188" s="32">
        <f>IF(Wildert1!AL14=0," ",SUM(E188:AD188))</f>
        <v>55.332999999999998</v>
      </c>
      <c r="E188" s="36" t="str">
        <f>IF(Wildert1!C14=(""),(""),ROUND(Wildert1!C14/Wildert1!$B14*10,3))</f>
        <v/>
      </c>
      <c r="F188" s="36" t="str">
        <f>IF(Wildert1!D14=(""),(""),ROUND(Wildert1!D14/Wildert1!$B14*10,3))</f>
        <v/>
      </c>
      <c r="G188" s="36" t="str">
        <f>IF(Wildert1!E14=(""),(""),ROUND(Wildert1!E14/Wildert1!$B14*10,3))</f>
        <v/>
      </c>
      <c r="H188" s="36" t="str">
        <f>IF(Wildert1!F14=(""),(""),ROUND(Wildert1!F14/Wildert1!$B14*10,3))</f>
        <v/>
      </c>
      <c r="I188" s="36">
        <f>IF(Wildert1!G14=(""),(""),ROUND(Wildert1!G14/Wildert1!$B14*10,3))</f>
        <v>10</v>
      </c>
      <c r="J188" s="36" t="str">
        <f>IF(Wildert1!H14=(""),(""),ROUND(Wildert1!H14/Wildert1!$B14*10,3))</f>
        <v/>
      </c>
      <c r="K188" s="36">
        <f>IF(Wildert1!I14=(""),(""),ROUND(Wildert1!I14/Wildert1!$B14*10,3))</f>
        <v>9.3330000000000002</v>
      </c>
      <c r="L188" s="36">
        <f>IF(Wildert1!J14=(""),(""),ROUND(Wildert1!J14/Wildert1!$B14*10,3))</f>
        <v>11.333</v>
      </c>
      <c r="M188" s="36" t="str">
        <f>IF(Wildert1!K14=(""),(""),ROUND(Wildert1!K14/Wildert1!$B14*10,3))</f>
        <v/>
      </c>
      <c r="N188" s="36">
        <f>IF(Wildert1!L14=(""),(""),ROUND(Wildert1!L14/Wildert1!$B14*10,3))</f>
        <v>12.667</v>
      </c>
      <c r="O188" s="36">
        <f>IF(Wildert1!M14=(""),(""),ROUND(Wildert1!M14/Wildert1!$B14*10,3))</f>
        <v>6.6669999999999998</v>
      </c>
      <c r="P188" s="36">
        <f>IF(Wildert1!N14=(""),(""),ROUND(Wildert1!N14/Wildert1!$B14*10,3))</f>
        <v>5.3330000000000002</v>
      </c>
      <c r="Q188" s="36" t="str">
        <f>IF(Wildert1!O14=(""),(""),ROUND(Wildert1!O14/Wildert1!$B14*10,3))</f>
        <v/>
      </c>
      <c r="R188" s="36" t="str">
        <f>IF(Wildert1!U14=(""),(""),ROUND(Wildert1!U14/Wildert1!$T14*10,3))</f>
        <v/>
      </c>
      <c r="S188" s="36" t="str">
        <f>IF(Wildert1!V14=(""),(""),ROUND(Wildert1!V14/Wildert1!$T14*10,3))</f>
        <v/>
      </c>
      <c r="T188" s="36" t="str">
        <f>IF(Wildert1!W14=(""),(""),ROUND(Wildert1!W14/Wildert1!$T14*10,3))</f>
        <v/>
      </c>
      <c r="U188" s="36" t="str">
        <f>IF(Wildert1!X14=(""),(""),ROUND(Wildert1!X14/Wildert1!$T14*10,3))</f>
        <v/>
      </c>
      <c r="V188" s="36" t="str">
        <f>IF(Wildert1!Y14=(""),(""),ROUND(Wildert1!Y14/Wildert1!$T14*10,3))</f>
        <v/>
      </c>
      <c r="W188" s="36" t="str">
        <f>IF(Wildert1!Z14=(""),(""),ROUND(Wildert1!Z14/Wildert1!$T14*10,3))</f>
        <v/>
      </c>
      <c r="X188" s="36" t="str">
        <f>IF(Wildert1!AA14=(""),(""),ROUND(Wildert1!AA14/Wildert1!$T14*10,3))</f>
        <v/>
      </c>
      <c r="Y188" s="36" t="str">
        <f>IF(Wildert1!AB14=(""),(""),ROUND(Wildert1!AB14/Wildert1!$T14*10,3))</f>
        <v/>
      </c>
      <c r="Z188" s="36" t="str">
        <f>IF(Wildert1!AC14=(""),(""),ROUND(Wildert1!AC14/Wildert1!$T14*10,3))</f>
        <v/>
      </c>
      <c r="AA188" s="36" t="str">
        <f>IF(Wildert1!AD14=(""),(""),ROUND(Wildert1!AD14/Wildert1!$T14*10,3))</f>
        <v/>
      </c>
      <c r="AB188" s="36" t="str">
        <f>IF(Wildert1!AE14=(""),(""),ROUND(Wildert1!AE14/Wildert1!$T14*10,3))</f>
        <v/>
      </c>
      <c r="AC188" s="36" t="str">
        <f>IF(Wildert1!AF14=(""),(""),ROUND(Wildert1!AF14/Wildert1!$T14*10,3))</f>
        <v/>
      </c>
      <c r="AD188" s="36" t="str">
        <f>IF(Wildert1!AG14=(""),(""),ROUND(Wildert1!AG14/Wildert1!$T14*10,3))</f>
        <v/>
      </c>
      <c r="AE188" s="36"/>
    </row>
    <row r="189" spans="1:31" ht="15" customHeight="1" x14ac:dyDescent="0.3">
      <c r="A189" s="27">
        <f t="shared" si="138"/>
        <v>10</v>
      </c>
      <c r="B189" s="28" t="str">
        <f>Wildert1!A15</f>
        <v>Thijs Jef</v>
      </c>
      <c r="C189" s="32">
        <f>IF(Wildert1!AL15=0," ",SUM(E189:AD189))</f>
        <v>100.477</v>
      </c>
      <c r="E189" s="36">
        <f>IF(Wildert1!C15=(""),(""),ROUND(Wildert1!C15/Wildert1!$B15*10,3))</f>
        <v>11.904999999999999</v>
      </c>
      <c r="F189" s="36">
        <f>IF(Wildert1!D15=(""),(""),ROUND(Wildert1!D15/Wildert1!$B15*10,3))</f>
        <v>9.5239999999999991</v>
      </c>
      <c r="G189" s="36">
        <f>IF(Wildert1!E15=(""),(""),ROUND(Wildert1!E15/Wildert1!$B15*10,3))</f>
        <v>11.429</v>
      </c>
      <c r="H189" s="36" t="str">
        <f>IF(Wildert1!F15=(""),(""),ROUND(Wildert1!F15/Wildert1!$B15*10,3))</f>
        <v/>
      </c>
      <c r="I189" s="36">
        <f>IF(Wildert1!G15=(""),(""),ROUND(Wildert1!G15/Wildert1!$B15*10,3))</f>
        <v>8.5709999999999997</v>
      </c>
      <c r="J189" s="36">
        <f>IF(Wildert1!H15=(""),(""),ROUND(Wildert1!H15/Wildert1!$B15*10,3))</f>
        <v>14.286</v>
      </c>
      <c r="K189" s="36">
        <f>IF(Wildert1!I15=(""),(""),ROUND(Wildert1!I15/Wildert1!$B15*10,3))</f>
        <v>10.476000000000001</v>
      </c>
      <c r="L189" s="36" t="str">
        <f>IF(Wildert1!J15=(""),(""),ROUND(Wildert1!J15/Wildert1!$B15*10,3))</f>
        <v/>
      </c>
      <c r="M189" s="36">
        <f>IF(Wildert1!K15=(""),(""),ROUND(Wildert1!K15/Wildert1!$B15*10,3))</f>
        <v>7.1429999999999998</v>
      </c>
      <c r="N189" s="36" t="str">
        <f>IF(Wildert1!L15=(""),(""),ROUND(Wildert1!L15/Wildert1!$B15*10,3))</f>
        <v/>
      </c>
      <c r="O189" s="36">
        <f>IF(Wildert1!M15=(""),(""),ROUND(Wildert1!M15/Wildert1!$B15*10,3))</f>
        <v>5.7140000000000004</v>
      </c>
      <c r="P189" s="36" t="str">
        <f>IF(Wildert1!N15=(""),(""),ROUND(Wildert1!N15/Wildert1!$B15*10,3))</f>
        <v/>
      </c>
      <c r="Q189" s="36">
        <f>IF(Wildert1!O15=(""),(""),ROUND(Wildert1!O15/Wildert1!$B15*10,3))</f>
        <v>11.904999999999999</v>
      </c>
      <c r="R189" s="36">
        <f>IF(Wildert1!U15=(""),(""),ROUND(Wildert1!U15/Wildert1!$T15*10,3))</f>
        <v>9.5239999999999991</v>
      </c>
      <c r="S189" s="36" t="str">
        <f>IF(Wildert1!V15=(""),(""),ROUND(Wildert1!V15/Wildert1!$T15*10,3))</f>
        <v/>
      </c>
      <c r="T189" s="36" t="str">
        <f>IF(Wildert1!W15=(""),(""),ROUND(Wildert1!W15/Wildert1!$T15*10,3))</f>
        <v/>
      </c>
      <c r="U189" s="36" t="str">
        <f>IF(Wildert1!X15=(""),(""),ROUND(Wildert1!X15/Wildert1!$T15*10,3))</f>
        <v/>
      </c>
      <c r="V189" s="36" t="str">
        <f>IF(Wildert1!Y15=(""),(""),ROUND(Wildert1!Y15/Wildert1!$T15*10,3))</f>
        <v/>
      </c>
      <c r="W189" s="36" t="str">
        <f>IF(Wildert1!Z15=(""),(""),ROUND(Wildert1!Z15/Wildert1!$T15*10,3))</f>
        <v/>
      </c>
      <c r="X189" s="36" t="str">
        <f>IF(Wildert1!AA15=(""),(""),ROUND(Wildert1!AA15/Wildert1!$T15*10,3))</f>
        <v/>
      </c>
      <c r="Y189" s="36" t="str">
        <f>IF(Wildert1!AB15=(""),(""),ROUND(Wildert1!AB15/Wildert1!$T15*10,3))</f>
        <v/>
      </c>
      <c r="Z189" s="36" t="str">
        <f>IF(Wildert1!AC15=(""),(""),ROUND(Wildert1!AC15/Wildert1!$T15*10,3))</f>
        <v/>
      </c>
      <c r="AA189" s="36" t="str">
        <f>IF(Wildert1!AD15=(""),(""),ROUND(Wildert1!AD15/Wildert1!$T15*10,3))</f>
        <v/>
      </c>
      <c r="AB189" s="36" t="str">
        <f>IF(Wildert1!AE15=(""),(""),ROUND(Wildert1!AE15/Wildert1!$T15*10,3))</f>
        <v/>
      </c>
      <c r="AC189" s="36" t="str">
        <f>IF(Wildert1!AF15=(""),(""),ROUND(Wildert1!AF15/Wildert1!$T15*10,3))</f>
        <v/>
      </c>
      <c r="AD189" s="36" t="str">
        <f>IF(Wildert1!AG15=(""),(""),ROUND(Wildert1!AG15/Wildert1!$T15*10,3))</f>
        <v/>
      </c>
      <c r="AE189" s="36"/>
    </row>
    <row r="190" spans="1:31" ht="15" customHeight="1" x14ac:dyDescent="0.3">
      <c r="A190" s="27">
        <f t="shared" ref="A190" si="139">IF(SUM(E190:AD190)=0,(" "),COUNTIF(E190:AD190,"&gt;0"))</f>
        <v>5</v>
      </c>
      <c r="B190" s="38" t="str">
        <f>Wildert1!A16</f>
        <v xml:space="preserve">Wetzer Rik [NS 20] </v>
      </c>
      <c r="C190" s="32">
        <f>IF(Wildert1!AL16=0," ",SUM(E190:AD190))</f>
        <v>34.334000000000003</v>
      </c>
      <c r="E190" s="36" t="str">
        <f>IF(Wildert1!C16=(""),(""),ROUND(Wildert1!C16/Wildert1!$B16*10,3))</f>
        <v/>
      </c>
      <c r="F190" s="265">
        <f>IF(Wildert1!D16=(""),(""),ROUND(Wildert1!D16/20*10,3))</f>
        <v>4</v>
      </c>
      <c r="G190" s="36" t="str">
        <f>IF(Wildert1!E16=(""),(""),ROUND(Wildert1!E16/Wildert1!$B16*10,3))</f>
        <v/>
      </c>
      <c r="H190" s="265">
        <f>IF(Wildert1!F16=(""),(""),ROUND(Wildert1!F16/20*10,3))</f>
        <v>8.5</v>
      </c>
      <c r="I190" s="36" t="str">
        <f>IF(Wildert1!G16=(""),(""),ROUND(Wildert1!G16/Wildert1!$B16*10,3))</f>
        <v/>
      </c>
      <c r="J190" s="265">
        <f>IF(Wildert1!H16=(""),(""),ROUND(Wildert1!H16/20*10,3))</f>
        <v>4.5</v>
      </c>
      <c r="K190" s="36" t="str">
        <f>IF(Wildert1!I16=(""),(""),ROUND(Wildert1!I16/Wildert1!$B16*10,3))</f>
        <v/>
      </c>
      <c r="L190" s="36" t="str">
        <f>IF(Wildert1!J16=(""),(""),ROUND(Wildert1!J16/Wildert1!$B16*10,3))</f>
        <v/>
      </c>
      <c r="M190" s="36" t="str">
        <f>IF(Wildert1!K16=(""),(""),ROUND(Wildert1!K16/Wildert1!$B16*10,3))</f>
        <v/>
      </c>
      <c r="N190" s="36" t="str">
        <f>IF(Wildert1!L16=(""),(""),ROUND(Wildert1!L16/Wildert1!$B16*10,3))</f>
        <v/>
      </c>
      <c r="O190" s="36" t="str">
        <f>IF(Wildert1!M16=(""),(""),ROUND(Wildert1!M16/Wildert1!$B16*10,3))</f>
        <v/>
      </c>
      <c r="P190" s="36">
        <f>IF(Wildert1!N16=(""),(""),ROUND(Wildert1!N16/Wildert1!$B16*10,3))</f>
        <v>10.667</v>
      </c>
      <c r="Q190" s="36" t="str">
        <f>IF(Wildert1!O16=(""),(""),ROUND(Wildert1!O16/Wildert1!$B16*10,3))</f>
        <v/>
      </c>
      <c r="R190" s="36">
        <f>IF(Wildert1!U16=(""),(""),ROUND(Wildert1!U16/Wildert1!$T16*10,3))</f>
        <v>6.6669999999999998</v>
      </c>
      <c r="S190" s="36" t="str">
        <f>IF(Wildert1!V16=(""),(""),ROUND(Wildert1!V16/Wildert1!$T16*10,3))</f>
        <v/>
      </c>
      <c r="T190" s="36" t="str">
        <f>IF(Wildert1!W16=(""),(""),ROUND(Wildert1!W16/Wildert1!$T16*10,3))</f>
        <v/>
      </c>
      <c r="U190" s="36" t="str">
        <f>IF(Wildert1!X16=(""),(""),ROUND(Wildert1!X16/Wildert1!$T16*10,3))</f>
        <v/>
      </c>
      <c r="V190" s="36" t="str">
        <f>IF(Wildert1!Y16=(""),(""),ROUND(Wildert1!Y16/Wildert1!$T16*10,3))</f>
        <v/>
      </c>
      <c r="W190" s="36" t="str">
        <f>IF(Wildert1!Z16=(""),(""),ROUND(Wildert1!Z16/Wildert1!$T16*10,3))</f>
        <v/>
      </c>
      <c r="X190" s="36" t="str">
        <f>IF(Wildert1!AA16=(""),(""),ROUND(Wildert1!AA16/Wildert1!$T16*10,3))</f>
        <v/>
      </c>
      <c r="Y190" s="36" t="str">
        <f>IF(Wildert1!AB16=(""),(""),ROUND(Wildert1!AB16/Wildert1!$T16*10,3))</f>
        <v/>
      </c>
      <c r="Z190" s="36" t="str">
        <f>IF(Wildert1!AC16=(""),(""),ROUND(Wildert1!AC16/Wildert1!$T16*10,3))</f>
        <v/>
      </c>
      <c r="AA190" s="36" t="str">
        <f>IF(Wildert1!AD16=(""),(""),ROUND(Wildert1!AD16/Wildert1!$T16*10,3))</f>
        <v/>
      </c>
      <c r="AB190" s="36" t="str">
        <f>IF(Wildert1!AE16=(""),(""),ROUND(Wildert1!AE16/Wildert1!$T16*10,3))</f>
        <v/>
      </c>
      <c r="AC190" s="36" t="str">
        <f>IF(Wildert1!AF16=(""),(""),ROUND(Wildert1!AF16/Wildert1!$T16*10,3))</f>
        <v/>
      </c>
      <c r="AD190" s="36" t="str">
        <f>IF(Wildert1!AG16=(""),(""),ROUND(Wildert1!AG16/Wildert1!$T16*10,3))</f>
        <v/>
      </c>
      <c r="AE190" s="36"/>
    </row>
    <row r="191" spans="1:31" ht="15" customHeight="1" x14ac:dyDescent="0.3">
      <c r="A191" s="27">
        <f t="shared" ref="A191" si="140">IF(SUM(E191:AD191)=0,(" "),COUNTIF(E191:AD191,"&gt;0"))</f>
        <v>1</v>
      </c>
      <c r="B191" s="38" t="str">
        <f>Wildert1!A17</f>
        <v>Seymus Eddy (ns)</v>
      </c>
      <c r="C191" s="32">
        <f>IF(Wildert1!AL17=0," ",SUM(E191:AD191))</f>
        <v>8</v>
      </c>
      <c r="E191" s="36" t="str">
        <f>IF(Wildert1!C17=(""),(""),ROUND(Wildert1!C17/Wildert1!$B17*10,3))</f>
        <v/>
      </c>
      <c r="F191" s="36" t="str">
        <f>IF(Wildert1!D17=(""),(""),ROUND(Wildert1!D17/Wildert1!$B17*10,3))</f>
        <v/>
      </c>
      <c r="G191" s="36" t="str">
        <f>IF(Wildert1!E17=(""),(""),ROUND(Wildert1!E17/Wildert1!$B17*10,3))</f>
        <v/>
      </c>
      <c r="H191" s="36" t="str">
        <f>IF(Wildert1!F17=(""),(""),ROUND(Wildert1!F17/Wildert1!$B17*10,3))</f>
        <v/>
      </c>
      <c r="I191" s="36" t="str">
        <f>IF(Wildert1!G17=(""),(""),ROUND(Wildert1!G17/Wildert1!$B17*10,3))</f>
        <v/>
      </c>
      <c r="J191" s="36" t="str">
        <f>IF(Wildert1!H17=(""),(""),ROUND(Wildert1!H17/Wildert1!$B17*10,3))</f>
        <v/>
      </c>
      <c r="K191" s="36" t="str">
        <f>IF(Wildert1!I17=(""),(""),ROUND(Wildert1!I17/Wildert1!$B17*10,3))</f>
        <v/>
      </c>
      <c r="L191" s="36" t="str">
        <f>IF(Wildert1!J17=(""),(""),ROUND(Wildert1!J17/Wildert1!$B17*10,3))</f>
        <v/>
      </c>
      <c r="M191" s="36" t="str">
        <f>IF(Wildert1!K17=(""),(""),ROUND(Wildert1!K17/Wildert1!$B17*10,3))</f>
        <v/>
      </c>
      <c r="N191" s="36" t="str">
        <f>IF(Wildert1!L17=(""),(""),ROUND(Wildert1!L17/Wildert1!$B17*10,3))</f>
        <v/>
      </c>
      <c r="O191" s="36" t="str">
        <f>IF(Wildert1!M17=(""),(""),ROUND(Wildert1!M17/Wildert1!$B17*10,3))</f>
        <v/>
      </c>
      <c r="P191" s="36" t="str">
        <f>IF(Wildert1!N17=(""),(""),ROUND(Wildert1!N17/Wildert1!$B17*10,3))</f>
        <v/>
      </c>
      <c r="Q191" s="36" t="str">
        <f>IF(Wildert1!O17=(""),(""),ROUND(Wildert1!O17/Wildert1!$B17*10,3))</f>
        <v/>
      </c>
      <c r="R191" s="36">
        <f>IF(Wildert1!U17=(""),(""),ROUND(Wildert1!U17/Wildert1!$T17*10,3))</f>
        <v>8</v>
      </c>
      <c r="S191" s="36" t="str">
        <f>IF(Wildert1!V17=(""),(""),ROUND(Wildert1!V17/Wildert1!$T17*10,3))</f>
        <v/>
      </c>
      <c r="T191" s="36" t="str">
        <f>IF(Wildert1!W17=(""),(""),ROUND(Wildert1!W17/Wildert1!$T17*10,3))</f>
        <v/>
      </c>
      <c r="U191" s="36" t="str">
        <f>IF(Wildert1!X17=(""),(""),ROUND(Wildert1!X17/Wildert1!$T17*10,3))</f>
        <v/>
      </c>
      <c r="V191" s="36" t="str">
        <f>IF(Wildert1!Y17=(""),(""),ROUND(Wildert1!Y17/Wildert1!$T17*10,3))</f>
        <v/>
      </c>
      <c r="W191" s="36" t="str">
        <f>IF(Wildert1!Z17=(""),(""),ROUND(Wildert1!Z17/Wildert1!$T17*10,3))</f>
        <v/>
      </c>
      <c r="X191" s="36" t="str">
        <f>IF(Wildert1!AA17=(""),(""),ROUND(Wildert1!AA17/Wildert1!$T17*10,3))</f>
        <v/>
      </c>
      <c r="Y191" s="36" t="str">
        <f>IF(Wildert1!AB17=(""),(""),ROUND(Wildert1!AB17/Wildert1!$T17*10,3))</f>
        <v/>
      </c>
      <c r="Z191" s="36" t="str">
        <f>IF(Wildert1!AC17=(""),(""),ROUND(Wildert1!AC17/Wildert1!$T17*10,3))</f>
        <v/>
      </c>
      <c r="AA191" s="36" t="str">
        <f>IF(Wildert1!AD17=(""),(""),ROUND(Wildert1!AD17/Wildert1!$T17*10,3))</f>
        <v/>
      </c>
      <c r="AB191" s="36" t="str">
        <f>IF(Wildert1!AE17=(""),(""),ROUND(Wildert1!AE17/Wildert1!$T17*10,3))</f>
        <v/>
      </c>
      <c r="AC191" s="36" t="str">
        <f>IF(Wildert1!AF17=(""),(""),ROUND(Wildert1!AF17/Wildert1!$T17*10,3))</f>
        <v/>
      </c>
      <c r="AD191" s="36" t="str">
        <f>IF(Wildert1!AG17=(""),(""),ROUND(Wildert1!AG17/Wildert1!$T17*10,3))</f>
        <v/>
      </c>
      <c r="AE191" s="36"/>
    </row>
    <row r="192" spans="1:31" ht="19.95" customHeight="1" x14ac:dyDescent="0.3">
      <c r="C192" s="216" t="str">
        <f>B177</f>
        <v>WILDERT 1</v>
      </c>
      <c r="D192" s="35"/>
      <c r="E192" s="36">
        <f t="shared" ref="E192:AD192" si="141">IF(SUM(E178:E191)=0,(" "),SUM(E178:E191))</f>
        <v>63.094999999999999</v>
      </c>
      <c r="F192" s="36">
        <f t="shared" si="141"/>
        <v>47.492000000000004</v>
      </c>
      <c r="G192" s="36">
        <f t="shared" si="141"/>
        <v>63.683000000000007</v>
      </c>
      <c r="H192" s="36">
        <f t="shared" si="141"/>
        <v>55.134</v>
      </c>
      <c r="I192" s="36">
        <f t="shared" si="141"/>
        <v>68.933999999999997</v>
      </c>
      <c r="J192" s="36">
        <f t="shared" si="141"/>
        <v>60.25</v>
      </c>
      <c r="K192" s="36">
        <f t="shared" si="141"/>
        <v>72.751000000000005</v>
      </c>
      <c r="L192" s="36">
        <f t="shared" si="141"/>
        <v>70.790000000000006</v>
      </c>
      <c r="M192" s="36">
        <f t="shared" si="141"/>
        <v>49.686999999999998</v>
      </c>
      <c r="N192" s="36">
        <f t="shared" si="141"/>
        <v>66.570999999999998</v>
      </c>
      <c r="O192" s="36">
        <f t="shared" si="141"/>
        <v>42.208999999999996</v>
      </c>
      <c r="P192" s="36">
        <f t="shared" si="141"/>
        <v>56.846999999999994</v>
      </c>
      <c r="Q192" s="36">
        <f t="shared" si="141"/>
        <v>55.677</v>
      </c>
      <c r="R192" s="36">
        <f t="shared" si="141"/>
        <v>49.783000000000001</v>
      </c>
      <c r="S192" s="36" t="str">
        <f t="shared" si="141"/>
        <v xml:space="preserve"> </v>
      </c>
      <c r="T192" s="36" t="str">
        <f t="shared" si="141"/>
        <v xml:space="preserve"> </v>
      </c>
      <c r="U192" s="36" t="str">
        <f t="shared" si="141"/>
        <v xml:space="preserve"> </v>
      </c>
      <c r="V192" s="36" t="str">
        <f t="shared" si="141"/>
        <v xml:space="preserve"> </v>
      </c>
      <c r="W192" s="36" t="str">
        <f t="shared" si="141"/>
        <v xml:space="preserve"> </v>
      </c>
      <c r="X192" s="36" t="str">
        <f t="shared" si="141"/>
        <v xml:space="preserve"> </v>
      </c>
      <c r="Y192" s="36" t="str">
        <f t="shared" si="141"/>
        <v xml:space="preserve"> </v>
      </c>
      <c r="Z192" s="36" t="str">
        <f t="shared" si="141"/>
        <v xml:space="preserve"> </v>
      </c>
      <c r="AA192" s="36" t="str">
        <f t="shared" si="141"/>
        <v xml:space="preserve"> </v>
      </c>
      <c r="AB192" s="36" t="str">
        <f t="shared" si="141"/>
        <v xml:space="preserve"> </v>
      </c>
      <c r="AC192" s="36" t="str">
        <f t="shared" si="141"/>
        <v xml:space="preserve"> </v>
      </c>
      <c r="AD192" s="36" t="str">
        <f t="shared" si="141"/>
        <v xml:space="preserve"> </v>
      </c>
      <c r="AE192" s="36"/>
    </row>
    <row r="193" spans="1:31" s="39" customFormat="1" ht="15" customHeight="1" x14ac:dyDescent="0.35">
      <c r="A193" s="37"/>
      <c r="B193" s="156"/>
      <c r="C193" s="41">
        <f>SUM(C178:C191)</f>
        <v>822.90299999999979</v>
      </c>
      <c r="D193" s="223" t="str">
        <f>B177</f>
        <v>WILDERT 1</v>
      </c>
      <c r="E193" s="40">
        <f>SUM(E178:E191)</f>
        <v>63.094999999999999</v>
      </c>
      <c r="F193" s="40">
        <f t="shared" ref="F193:AD193" si="142">IF(F192=(" "),(" "),E193+F192)</f>
        <v>110.587</v>
      </c>
      <c r="G193" s="40">
        <f t="shared" si="142"/>
        <v>174.27</v>
      </c>
      <c r="H193" s="40">
        <f t="shared" si="142"/>
        <v>229.404</v>
      </c>
      <c r="I193" s="40">
        <f t="shared" si="142"/>
        <v>298.33799999999997</v>
      </c>
      <c r="J193" s="40">
        <f t="shared" si="142"/>
        <v>358.58799999999997</v>
      </c>
      <c r="K193" s="40">
        <f t="shared" si="142"/>
        <v>431.33899999999994</v>
      </c>
      <c r="L193" s="40">
        <f t="shared" si="142"/>
        <v>502.12899999999996</v>
      </c>
      <c r="M193" s="40">
        <f t="shared" si="142"/>
        <v>551.81599999999992</v>
      </c>
      <c r="N193" s="40">
        <f>IF(N192=(" "),(" "),M193+N192)</f>
        <v>618.38699999999994</v>
      </c>
      <c r="O193" s="40">
        <f t="shared" si="142"/>
        <v>660.59599999999989</v>
      </c>
      <c r="P193" s="40">
        <f t="shared" si="142"/>
        <v>717.44299999999987</v>
      </c>
      <c r="Q193" s="40">
        <f t="shared" si="142"/>
        <v>773.11999999999989</v>
      </c>
      <c r="R193" s="40">
        <f t="shared" si="142"/>
        <v>822.90299999999991</v>
      </c>
      <c r="S193" s="40" t="str">
        <f t="shared" si="142"/>
        <v xml:space="preserve"> </v>
      </c>
      <c r="T193" s="40" t="str">
        <f t="shared" si="142"/>
        <v xml:space="preserve"> </v>
      </c>
      <c r="U193" s="40" t="str">
        <f t="shared" si="142"/>
        <v xml:space="preserve"> </v>
      </c>
      <c r="V193" s="40" t="str">
        <f t="shared" si="142"/>
        <v xml:space="preserve"> </v>
      </c>
      <c r="W193" s="40" t="str">
        <f t="shared" si="142"/>
        <v xml:space="preserve"> </v>
      </c>
      <c r="X193" s="40" t="str">
        <f t="shared" si="142"/>
        <v xml:space="preserve"> </v>
      </c>
      <c r="Y193" s="40" t="str">
        <f t="shared" si="142"/>
        <v xml:space="preserve"> </v>
      </c>
      <c r="Z193" s="40" t="str">
        <f t="shared" si="142"/>
        <v xml:space="preserve"> </v>
      </c>
      <c r="AA193" s="40" t="str">
        <f t="shared" si="142"/>
        <v xml:space="preserve"> </v>
      </c>
      <c r="AB193" s="40" t="str">
        <f t="shared" si="142"/>
        <v xml:space="preserve"> </v>
      </c>
      <c r="AC193" s="40" t="str">
        <f t="shared" si="142"/>
        <v xml:space="preserve"> </v>
      </c>
      <c r="AD193" s="40" t="str">
        <f t="shared" si="142"/>
        <v xml:space="preserve"> </v>
      </c>
      <c r="AE193" s="40"/>
    </row>
    <row r="194" spans="1:31" ht="25.2" customHeight="1" x14ac:dyDescent="0.3"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</row>
    <row r="195" spans="1:31" ht="15" customHeight="1" x14ac:dyDescent="0.3">
      <c r="B195" s="31" t="s">
        <v>34</v>
      </c>
      <c r="E195" s="27">
        <v>1</v>
      </c>
      <c r="F195" s="27">
        <v>2</v>
      </c>
      <c r="G195" s="27">
        <v>3</v>
      </c>
      <c r="H195" s="27">
        <v>4</v>
      </c>
      <c r="I195" s="27">
        <v>5</v>
      </c>
      <c r="J195" s="27">
        <v>6</v>
      </c>
      <c r="K195" s="27">
        <v>7</v>
      </c>
      <c r="L195" s="27">
        <v>8</v>
      </c>
      <c r="M195" s="27">
        <v>9</v>
      </c>
      <c r="N195" s="27">
        <v>10</v>
      </c>
      <c r="O195" s="27">
        <v>11</v>
      </c>
      <c r="P195" s="27">
        <v>12</v>
      </c>
      <c r="Q195" s="27">
        <v>13</v>
      </c>
      <c r="R195" s="27">
        <v>14</v>
      </c>
      <c r="S195" s="27">
        <v>15</v>
      </c>
      <c r="T195" s="27">
        <v>16</v>
      </c>
      <c r="U195" s="27">
        <v>17</v>
      </c>
      <c r="V195" s="27">
        <v>18</v>
      </c>
      <c r="W195" s="27">
        <v>19</v>
      </c>
      <c r="X195" s="27">
        <v>20</v>
      </c>
      <c r="Y195" s="27">
        <v>21</v>
      </c>
      <c r="Z195" s="27">
        <v>22</v>
      </c>
      <c r="AA195" s="27">
        <v>23</v>
      </c>
      <c r="AB195" s="27">
        <v>24</v>
      </c>
      <c r="AC195" s="27">
        <v>25</v>
      </c>
      <c r="AD195" s="27">
        <v>26</v>
      </c>
      <c r="AE195" s="36"/>
    </row>
    <row r="196" spans="1:31" ht="15" customHeight="1" x14ac:dyDescent="0.3">
      <c r="A196" s="27">
        <f t="shared" ref="A196:A206" si="143">IF(SUM(E196:AD196)=0,(" "),COUNTIF(E196:AD196,"&gt;0"))</f>
        <v>3</v>
      </c>
      <c r="B196" s="28" t="str">
        <f>Wildert2!A4</f>
        <v xml:space="preserve">Aernouts Johan  </v>
      </c>
      <c r="C196" s="32">
        <f>IF(Wildert2!AL4=0," ",SUM(E196:AD196))</f>
        <v>35.349000000000004</v>
      </c>
      <c r="E196" s="36" t="str">
        <f>IF(Wildert2!C4=(""),(""),ROUND(Wildert2!C4/Wildert2!$B4*10,3))</f>
        <v/>
      </c>
      <c r="F196" s="36">
        <f>IF(Wildert2!D4=(""),(""),ROUND(Wildert2!D4/Wildert2!$B4*10,3))</f>
        <v>8.8369999999999997</v>
      </c>
      <c r="G196" s="36" t="str">
        <f>IF(Wildert2!E4=(""),(""),ROUND(Wildert2!E4/Wildert2!$B4*10,3))</f>
        <v/>
      </c>
      <c r="H196" s="36" t="str">
        <f>IF(Wildert2!F4=(""),(""),ROUND(Wildert2!F4/Wildert2!$B4*10,3))</f>
        <v/>
      </c>
      <c r="I196" s="36" t="str">
        <f>IF(Wildert2!G4=(""),(""),ROUND(Wildert2!G4/Wildert2!$B4*10,3))</f>
        <v/>
      </c>
      <c r="J196" s="36" t="str">
        <f>IF(Wildert2!H4=(""),(""),ROUND(Wildert2!H4/Wildert2!$B4*10,3))</f>
        <v/>
      </c>
      <c r="K196" s="36" t="str">
        <f>IF(Wildert2!I4=(""),(""),ROUND(Wildert2!I4/Wildert2!$B4*10,3))</f>
        <v/>
      </c>
      <c r="L196" s="36" t="str">
        <f>IF(Wildert2!J4=(""),(""),ROUND(Wildert2!J4/Wildert2!$B4*10,3))</f>
        <v/>
      </c>
      <c r="M196" s="36" t="str">
        <f>IF(Wildert2!K4=(""),(""),ROUND(Wildert2!K4/Wildert2!$B4*10,3))</f>
        <v/>
      </c>
      <c r="N196" s="36" t="str">
        <f>IF(Wildert2!L4=(""),(""),ROUND(Wildert2!L4/Wildert2!$B4*10,3))</f>
        <v/>
      </c>
      <c r="O196" s="36" t="str">
        <f>IF(Wildert2!M4=(""),(""),ROUND(Wildert2!M4/Wildert2!$B4*10,3))</f>
        <v/>
      </c>
      <c r="P196" s="36">
        <f>IF(Wildert2!N4=(""),(""),ROUND(Wildert2!N4/Wildert2!$B4*10,3))</f>
        <v>14.419</v>
      </c>
      <c r="Q196" s="36" t="str">
        <f>IF(Wildert2!O4=(""),(""),ROUND(Wildert2!O4/Wildert2!$B4*10,3))</f>
        <v/>
      </c>
      <c r="R196" s="36">
        <f>IF(Wildert2!U4=(""),(""),ROUND(Wildert2!U4/Wildert2!$T4*10,3))</f>
        <v>12.093</v>
      </c>
      <c r="S196" s="36" t="str">
        <f>IF(Wildert2!V4=(""),(""),ROUND(Wildert2!V4/Wildert2!$T4*10,3))</f>
        <v/>
      </c>
      <c r="T196" s="36" t="str">
        <f>IF(Wildert2!W4=(""),(""),ROUND(Wildert2!W4/Wildert2!$T4*10,3))</f>
        <v/>
      </c>
      <c r="U196" s="36" t="str">
        <f>IF(Wildert2!X4=(""),(""),ROUND(Wildert2!X4/Wildert2!$T4*10,3))</f>
        <v/>
      </c>
      <c r="V196" s="36" t="str">
        <f>IF(Wildert2!Y4=(""),(""),ROUND(Wildert2!Y4/Wildert2!$T4*10,3))</f>
        <v/>
      </c>
      <c r="W196" s="36" t="str">
        <f>IF(Wildert2!Z4=(""),(""),ROUND(Wildert2!Z4/Wildert2!$T4*10,3))</f>
        <v/>
      </c>
      <c r="X196" s="36" t="str">
        <f>IF(Wildert2!AA4=(""),(""),ROUND(Wildert2!AA4/Wildert2!$T4*10,3))</f>
        <v/>
      </c>
      <c r="Y196" s="36" t="str">
        <f>IF(Wildert2!AB4=(""),(""),ROUND(Wildert2!AB4/Wildert2!$T4*10,3))</f>
        <v/>
      </c>
      <c r="Z196" s="36" t="str">
        <f>IF(Wildert2!AC4=(""),(""),ROUND(Wildert2!AC4/Wildert2!$T4*10,3))</f>
        <v/>
      </c>
      <c r="AA196" s="36" t="str">
        <f>IF(Wildert2!AD4=(""),(""),ROUND(Wildert2!AD4/Wildert2!$T4*10,3))</f>
        <v/>
      </c>
      <c r="AB196" s="36" t="str">
        <f>IF(Wildert2!AE4=(""),(""),ROUND(Wildert2!AE4/Wildert2!$T4*10,3))</f>
        <v/>
      </c>
      <c r="AC196" s="36" t="str">
        <f>IF(Wildert2!AF4=(""),(""),ROUND(Wildert2!AF4/Wildert2!$T4*10,3))</f>
        <v/>
      </c>
      <c r="AD196" s="36" t="str">
        <f>IF(Wildert2!AG4=(""),(""),ROUND(Wildert2!AG4/Wildert2!$T4*10,3))</f>
        <v/>
      </c>
      <c r="AE196" s="36"/>
    </row>
    <row r="197" spans="1:31" ht="15" customHeight="1" x14ac:dyDescent="0.3">
      <c r="A197" s="27">
        <f t="shared" si="143"/>
        <v>12</v>
      </c>
      <c r="B197" s="81" t="str">
        <f>Wildert2!A5</f>
        <v>Eestermans René</v>
      </c>
      <c r="C197" s="32">
        <f>IF(Wildert2!AL5=0," ",SUM(E197:AD197))</f>
        <v>123.571</v>
      </c>
      <c r="E197" s="36">
        <f>IF(Wildert2!C5=(""),(""),ROUND(Wildert2!C5/Wildert2!$B5*10,3))</f>
        <v>10.356999999999999</v>
      </c>
      <c r="F197" s="36">
        <f>IF(Wildert2!D5=(""),(""),ROUND(Wildert2!D5/Wildert2!$B5*10,3))</f>
        <v>17.856999999999999</v>
      </c>
      <c r="G197" s="269">
        <f>IF(Wildert2!E5=(""),(""),ROUND(Wildert2!E5/Wildert2!$B5*10,3))</f>
        <v>10.714</v>
      </c>
      <c r="H197" s="36">
        <f>IF(Wildert2!F5=(""),(""),ROUND(Wildert2!F5/Wildert2!$B5*10,3))</f>
        <v>11.786</v>
      </c>
      <c r="I197" s="36" t="str">
        <f>IF(Wildert2!G5=(""),(""),ROUND(Wildert2!G5/Wildert2!$B5*10,3))</f>
        <v/>
      </c>
      <c r="J197" s="268">
        <f>IF(Wildert2!H5=(""),(""),ROUND(Wildert2!H5/Wildert2!$B5*10,3))</f>
        <v>11.071</v>
      </c>
      <c r="K197" s="36">
        <f>IF(Wildert2!I5=(""),(""),ROUND(Wildert2!I5/Wildert2!$B5*10,3))</f>
        <v>5.3570000000000002</v>
      </c>
      <c r="L197" s="36">
        <f>IF(Wildert2!J5=(""),(""),ROUND(Wildert2!J5/Wildert2!$B5*10,3))</f>
        <v>7.1429999999999998</v>
      </c>
      <c r="M197" s="36">
        <f>IF(Wildert2!K5=(""),(""),ROUND(Wildert2!K5/Wildert2!$B5*10,3))</f>
        <v>14.643000000000001</v>
      </c>
      <c r="N197" s="36">
        <f>IF(Wildert2!L5=(""),(""),ROUND(Wildert2!L5/Wildert2!$B5*10,3))</f>
        <v>8.5709999999999997</v>
      </c>
      <c r="O197" s="36">
        <f>IF(Wildert2!M5=(""),(""),ROUND(Wildert2!M5/Wildert2!$B5*10,3))</f>
        <v>12.143000000000001</v>
      </c>
      <c r="P197" s="36">
        <f>IF(Wildert2!N5=(""),(""),ROUND(Wildert2!N5/Wildert2!$B5*10,3))</f>
        <v>6.7859999999999996</v>
      </c>
      <c r="Q197" s="36" t="str">
        <f>IF(Wildert2!O5=(""),(""),ROUND(Wildert2!O5/Wildert2!$B5*10,3))</f>
        <v/>
      </c>
      <c r="R197" s="36">
        <f>IF(Wildert2!U5=(""),(""),ROUND(Wildert2!U5/Wildert2!$T5*10,3))</f>
        <v>7.1429999999999998</v>
      </c>
      <c r="S197" s="36" t="str">
        <f>IF(Wildert2!V5=(""),(""),ROUND(Wildert2!V5/Wildert2!$T5*10,3))</f>
        <v/>
      </c>
      <c r="T197" s="36" t="str">
        <f>IF(Wildert2!W5=(""),(""),ROUND(Wildert2!W5/Wildert2!$T5*10,3))</f>
        <v/>
      </c>
      <c r="U197" s="36" t="str">
        <f>IF(Wildert2!X5=(""),(""),ROUND(Wildert2!X5/Wildert2!$T5*10,3))</f>
        <v/>
      </c>
      <c r="V197" s="36" t="str">
        <f>IF(Wildert2!Y5=(""),(""),ROUND(Wildert2!Y5/Wildert2!$T5*10,3))</f>
        <v/>
      </c>
      <c r="W197" s="36" t="str">
        <f>IF(Wildert2!Z5=(""),(""),ROUND(Wildert2!Z5/Wildert2!$T5*10,3))</f>
        <v/>
      </c>
      <c r="X197" s="36" t="str">
        <f>IF(Wildert2!AA5=(""),(""),ROUND(Wildert2!AA5/Wildert2!$T5*10,3))</f>
        <v/>
      </c>
      <c r="Y197" s="36" t="str">
        <f>IF(Wildert2!AB5=(""),(""),ROUND(Wildert2!AB5/Wildert2!$T5*10,3))</f>
        <v/>
      </c>
      <c r="Z197" s="36" t="str">
        <f>IF(Wildert2!AC5=(""),(""),ROUND(Wildert2!AC5/Wildert2!$T5*10,3))</f>
        <v/>
      </c>
      <c r="AA197" s="36" t="str">
        <f>IF(Wildert2!AD5=(""),(""),ROUND(Wildert2!AD5/Wildert2!$T5*10,3))</f>
        <v/>
      </c>
      <c r="AB197" s="36" t="str">
        <f>IF(Wildert2!AE5=(""),(""),ROUND(Wildert2!AE5/Wildert2!$T5*10,3))</f>
        <v/>
      </c>
      <c r="AC197" s="36" t="str">
        <f>IF(Wildert2!AF5=(""),(""),ROUND(Wildert2!AF5/Wildert2!$T5*10,3))</f>
        <v/>
      </c>
      <c r="AD197" s="36" t="str">
        <f>IF(Wildert2!AG5=(""),(""),ROUND(Wildert2!AG5/Wildert2!$T5*10,3))</f>
        <v/>
      </c>
      <c r="AE197" s="36"/>
    </row>
    <row r="198" spans="1:31" ht="15" customHeight="1" x14ac:dyDescent="0.3">
      <c r="A198" s="27">
        <f t="shared" si="143"/>
        <v>12</v>
      </c>
      <c r="B198" s="28" t="str">
        <f>Wildert2!A6</f>
        <v xml:space="preserve">Eijckholt Adrie              </v>
      </c>
      <c r="C198" s="32">
        <f>IF(Wildert2!AL6=0," ",SUM(E198:AD198))</f>
        <v>111.42899999999999</v>
      </c>
      <c r="E198" s="36">
        <f>IF(Wildert2!C6=(""),(""),ROUND(Wildert2!C6/Wildert2!$B6*10,3))</f>
        <v>9.048</v>
      </c>
      <c r="F198" s="269">
        <f>IF(Wildert2!D6=(""),(""),ROUND(Wildert2!D6/Wildert2!$B6*10,3))</f>
        <v>11.667</v>
      </c>
      <c r="G198" s="269">
        <f>IF(Wildert2!E6=(""),(""),ROUND(Wildert2!E6/Wildert2!$B6*10,3))</f>
        <v>4.2859999999999996</v>
      </c>
      <c r="H198" s="36">
        <f>IF(Wildert2!F6=(""),(""),ROUND(Wildert2!F6/Wildert2!$B6*10,3))</f>
        <v>8.3330000000000002</v>
      </c>
      <c r="I198" s="36">
        <f>IF(Wildert2!G6=(""),(""),ROUND(Wildert2!G6/Wildert2!$B6*10,3))</f>
        <v>12.143000000000001</v>
      </c>
      <c r="J198" s="268">
        <f>IF(Wildert2!H6=(""),(""),ROUND(Wildert2!H6/Wildert2!$B6*10,3))</f>
        <v>10.476000000000001</v>
      </c>
      <c r="K198" s="36">
        <f>IF(Wildert2!I6=(""),(""),ROUND(Wildert2!I6/Wildert2!$B6*10,3))</f>
        <v>5.2380000000000004</v>
      </c>
      <c r="L198" s="36">
        <f>IF(Wildert2!J6=(""),(""),ROUND(Wildert2!J6/Wildert2!$B6*10,3))</f>
        <v>11.667</v>
      </c>
      <c r="M198" s="36" t="str">
        <f>IF(Wildert2!K6=(""),(""),ROUND(Wildert2!K6/Wildert2!$B6*10,3))</f>
        <v/>
      </c>
      <c r="N198" s="36">
        <f>IF(Wildert2!L6=(""),(""),ROUND(Wildert2!L6/Wildert2!$B6*10,3))</f>
        <v>8.81</v>
      </c>
      <c r="O198" s="36">
        <f>IF(Wildert2!M6=(""),(""),ROUND(Wildert2!M6/Wildert2!$B6*10,3))</f>
        <v>10.238</v>
      </c>
      <c r="P198" s="36" t="str">
        <f>IF(Wildert2!N6=(""),(""),ROUND(Wildert2!N6/Wildert2!$B6*10,3))</f>
        <v/>
      </c>
      <c r="Q198" s="36">
        <f>IF(Wildert2!O6=(""),(""),ROUND(Wildert2!O6/Wildert2!$B6*10,3))</f>
        <v>13.333</v>
      </c>
      <c r="R198" s="36">
        <f>IF(Wildert2!U6=(""),(""),ROUND(Wildert2!U6/Wildert2!$T6*10,3))</f>
        <v>6.19</v>
      </c>
      <c r="S198" s="36" t="str">
        <f>IF(Wildert2!V6=(""),(""),ROUND(Wildert2!V6/Wildert2!$T6*10,3))</f>
        <v/>
      </c>
      <c r="T198" s="36" t="str">
        <f>IF(Wildert2!W6=(""),(""),ROUND(Wildert2!W6/Wildert2!$T6*10,3))</f>
        <v/>
      </c>
      <c r="U198" s="36" t="str">
        <f>IF(Wildert2!X6=(""),(""),ROUND(Wildert2!X6/Wildert2!$T6*10,3))</f>
        <v/>
      </c>
      <c r="V198" s="36" t="str">
        <f>IF(Wildert2!Y6=(""),(""),ROUND(Wildert2!Y6/Wildert2!$T6*10,3))</f>
        <v/>
      </c>
      <c r="W198" s="36" t="str">
        <f>IF(Wildert2!Z6=(""),(""),ROUND(Wildert2!Z6/Wildert2!$T6*10,3))</f>
        <v/>
      </c>
      <c r="X198" s="36" t="str">
        <f>IF(Wildert2!AA6=(""),(""),ROUND(Wildert2!AA6/Wildert2!$T6*10,3))</f>
        <v/>
      </c>
      <c r="Y198" s="36" t="str">
        <f>IF(Wildert2!AB6=(""),(""),ROUND(Wildert2!AB6/Wildert2!$T6*10,3))</f>
        <v/>
      </c>
      <c r="Z198" s="36" t="str">
        <f>IF(Wildert2!AC6=(""),(""),ROUND(Wildert2!AC6/Wildert2!$T6*10,3))</f>
        <v/>
      </c>
      <c r="AA198" s="36" t="str">
        <f>IF(Wildert2!AD6=(""),(""),ROUND(Wildert2!AD6/Wildert2!$T6*10,3))</f>
        <v/>
      </c>
      <c r="AB198" s="36" t="str">
        <f>IF(Wildert2!AE6=(""),(""),ROUND(Wildert2!AE6/Wildert2!$T6*10,3))</f>
        <v/>
      </c>
      <c r="AC198" s="36" t="str">
        <f>IF(Wildert2!AF6=(""),(""),ROUND(Wildert2!AF6/Wildert2!$T6*10,3))</f>
        <v/>
      </c>
      <c r="AD198" s="36" t="str">
        <f>IF(Wildert2!AG6=(""),(""),ROUND(Wildert2!AG6/Wildert2!$T6*10,3))</f>
        <v/>
      </c>
      <c r="AE198" s="36"/>
    </row>
    <row r="199" spans="1:31" ht="15" customHeight="1" x14ac:dyDescent="0.3">
      <c r="A199" s="27">
        <f t="shared" si="143"/>
        <v>13</v>
      </c>
      <c r="B199" s="81" t="str">
        <f>Wildert2!A7</f>
        <v xml:space="preserve">Francken Robert </v>
      </c>
      <c r="C199" s="93">
        <f>IF(Wildert2!AL7=0," ",SUM(E199:AD199))</f>
        <v>156</v>
      </c>
      <c r="E199" s="36">
        <f>IF(Wildert2!C7=(""),(""),ROUND(Wildert2!C7/Wildert2!$B7*10,3))</f>
        <v>12.75</v>
      </c>
      <c r="F199" s="36">
        <f>IF(Wildert2!D7=(""),(""),ROUND(Wildert2!D7/Wildert2!$B7*10,3))</f>
        <v>8.25</v>
      </c>
      <c r="G199" s="36" t="str">
        <f>IF(Wildert2!E7=(""),(""),ROUND(Wildert2!E7/Wildert2!$B7*10,3))</f>
        <v/>
      </c>
      <c r="H199" s="36">
        <f>IF(Wildert2!F7=(""),(""),ROUND(Wildert2!F7/Wildert2!$B7*10,3))</f>
        <v>8.25</v>
      </c>
      <c r="I199" s="36">
        <f>IF(Wildert2!G7=(""),(""),ROUND(Wildert2!G7/Wildert2!$B7*10,3))</f>
        <v>15.75</v>
      </c>
      <c r="J199" s="268">
        <f>IF(Wildert2!H7=(""),(""),ROUND(Wildert2!H7/Wildert2!$B7*10,3))</f>
        <v>16.25</v>
      </c>
      <c r="K199" s="268">
        <f>IF(Wildert2!I7=(""),(""),ROUND(Wildert2!I7/Wildert2!$B7*10,3))</f>
        <v>13</v>
      </c>
      <c r="L199" s="36">
        <f>IF(Wildert2!J7=(""),(""),ROUND(Wildert2!J7/Wildert2!$B7*10,3))</f>
        <v>10</v>
      </c>
      <c r="M199" s="36">
        <f>IF(Wildert2!K7=(""),(""),ROUND(Wildert2!K7/Wildert2!$B7*10,3))</f>
        <v>10</v>
      </c>
      <c r="N199" s="36">
        <f>IF(Wildert2!L7=(""),(""),ROUND(Wildert2!L7/Wildert2!$B7*10,3))</f>
        <v>13.25</v>
      </c>
      <c r="O199" s="36">
        <f>IF(Wildert2!M7=(""),(""),ROUND(Wildert2!M7/Wildert2!$B7*10,3))</f>
        <v>10.75</v>
      </c>
      <c r="P199" s="36">
        <f>IF(Wildert2!N7=(""),(""),ROUND(Wildert2!N7/Wildert2!$B7*10,3))</f>
        <v>16.75</v>
      </c>
      <c r="Q199" s="36">
        <f>IF(Wildert2!O7=(""),(""),ROUND(Wildert2!O7/Wildert2!$B7*10,3))</f>
        <v>14</v>
      </c>
      <c r="R199" s="36">
        <f>IF(Wildert2!U7=(""),(""),ROUND(Wildert2!U7/Wildert2!$T7*10,3))</f>
        <v>7</v>
      </c>
      <c r="S199" s="36" t="str">
        <f>IF(Wildert2!V7=(""),(""),ROUND(Wildert2!V7/Wildert2!$T7*10,3))</f>
        <v/>
      </c>
      <c r="T199" s="36" t="str">
        <f>IF(Wildert2!W7=(""),(""),ROUND(Wildert2!W7/Wildert2!$T7*10,3))</f>
        <v/>
      </c>
      <c r="U199" s="36" t="str">
        <f>IF(Wildert2!X7=(""),(""),ROUND(Wildert2!X7/Wildert2!$T7*10,3))</f>
        <v/>
      </c>
      <c r="V199" s="36" t="str">
        <f>IF(Wildert2!Y7=(""),(""),ROUND(Wildert2!Y7/Wildert2!$T7*10,3))</f>
        <v/>
      </c>
      <c r="W199" s="36" t="str">
        <f>IF(Wildert2!Z7=(""),(""),ROUND(Wildert2!Z7/Wildert2!$T7*10,3))</f>
        <v/>
      </c>
      <c r="X199" s="36" t="str">
        <f>IF(Wildert2!AA7=(""),(""),ROUND(Wildert2!AA7/Wildert2!$T7*10,3))</f>
        <v/>
      </c>
      <c r="Y199" s="36" t="str">
        <f>IF(Wildert2!AB7=(""),(""),ROUND(Wildert2!AB7/Wildert2!$T7*10,3))</f>
        <v/>
      </c>
      <c r="Z199" s="36" t="str">
        <f>IF(Wildert2!AC7=(""),(""),ROUND(Wildert2!AC7/Wildert2!$T7*10,3))</f>
        <v/>
      </c>
      <c r="AA199" s="36" t="str">
        <f>IF(Wildert2!AD7=(""),(""),ROUND(Wildert2!AD7/Wildert2!$T7*10,3))</f>
        <v/>
      </c>
      <c r="AB199" s="36" t="str">
        <f>IF(Wildert2!AE7=(""),(""),ROUND(Wildert2!AE7/Wildert2!$T7*10,3))</f>
        <v/>
      </c>
      <c r="AC199" s="36" t="str">
        <f>IF(Wildert2!AF7=(""),(""),ROUND(Wildert2!AF7/Wildert2!$T7*10,3))</f>
        <v/>
      </c>
      <c r="AD199" s="36" t="str">
        <f>IF(Wildert2!AG7=(""),(""),ROUND(Wildert2!AG7/Wildert2!$T7*10,3))</f>
        <v/>
      </c>
      <c r="AE199" s="36"/>
    </row>
    <row r="200" spans="1:31" ht="15" customHeight="1" x14ac:dyDescent="0.3">
      <c r="A200" s="27">
        <f t="shared" si="143"/>
        <v>6</v>
      </c>
      <c r="B200" s="81" t="str">
        <f>Wildert2!A8</f>
        <v xml:space="preserve">Leys Herman </v>
      </c>
      <c r="C200" s="32">
        <f>IF(Wildert2!AL8=0," ",SUM(E200:AD200))</f>
        <v>76.251000000000005</v>
      </c>
      <c r="E200" s="36">
        <f>IF(Wildert2!C8=(""),(""),ROUND(Wildert2!C8/Wildert2!$B8*10,3))</f>
        <v>9.375</v>
      </c>
      <c r="F200" s="36" t="str">
        <f>IF(Wildert2!D8=(""),(""),ROUND(Wildert2!D8/Wildert2!$B8*10,3))</f>
        <v/>
      </c>
      <c r="G200" s="36" t="str">
        <f>IF(Wildert2!E8=(""),(""),ROUND(Wildert2!E8/Wildert2!$B8*10,3))</f>
        <v/>
      </c>
      <c r="H200" s="36" t="str">
        <f>IF(Wildert2!F8=(""),(""),ROUND(Wildert2!F8/Wildert2!$B8*10,3))</f>
        <v/>
      </c>
      <c r="I200" s="36">
        <f>IF(Wildert2!G8=(""),(""),ROUND(Wildert2!G8/Wildert2!$B8*10,3))</f>
        <v>15.625</v>
      </c>
      <c r="J200" s="36" t="str">
        <f>IF(Wildert2!H8=(""),(""),ROUND(Wildert2!H8/Wildert2!$B8*10,3))</f>
        <v/>
      </c>
      <c r="K200" s="36">
        <f>IF(Wildert2!I8=(""),(""),ROUND(Wildert2!I8/Wildert2!$B8*10,3))</f>
        <v>8.75</v>
      </c>
      <c r="L200" s="36" t="str">
        <f>IF(Wildert2!J8=(""),(""),ROUND(Wildert2!J8/Wildert2!$B8*10,3))</f>
        <v/>
      </c>
      <c r="M200" s="36">
        <f>IF(Wildert2!K8=(""),(""),ROUND(Wildert2!K8/Wildert2!$B8*10,3))</f>
        <v>16.562999999999999</v>
      </c>
      <c r="N200" s="36" t="str">
        <f>IF(Wildert2!L8=(""),(""),ROUND(Wildert2!L8/Wildert2!$B8*10,3))</f>
        <v/>
      </c>
      <c r="O200" s="36" t="str">
        <f>IF(Wildert2!M8=(""),(""),ROUND(Wildert2!M8/Wildert2!$B8*10,3))</f>
        <v/>
      </c>
      <c r="P200" s="36" t="str">
        <f>IF(Wildert2!N8=(""),(""),ROUND(Wildert2!N8/Wildert2!$B8*10,3))</f>
        <v/>
      </c>
      <c r="Q200" s="36">
        <f>IF(Wildert2!O8=(""),(""),ROUND(Wildert2!O8/Wildert2!$B8*10,3))</f>
        <v>15</v>
      </c>
      <c r="R200" s="36">
        <f>IF(Wildert2!U8=(""),(""),ROUND(Wildert2!U8/Wildert2!$T8*10,3))</f>
        <v>10.938000000000001</v>
      </c>
      <c r="S200" s="36" t="str">
        <f>IF(Wildert2!V8=(""),(""),ROUND(Wildert2!V8/Wildert2!$T8*10,3))</f>
        <v/>
      </c>
      <c r="T200" s="36" t="str">
        <f>IF(Wildert2!W8=(""),(""),ROUND(Wildert2!W8/Wildert2!$T8*10,3))</f>
        <v/>
      </c>
      <c r="U200" s="36" t="str">
        <f>IF(Wildert2!X8=(""),(""),ROUND(Wildert2!X8/Wildert2!$T8*10,3))</f>
        <v/>
      </c>
      <c r="V200" s="36" t="str">
        <f>IF(Wildert2!Y8=(""),(""),ROUND(Wildert2!Y8/Wildert2!$T8*10,3))</f>
        <v/>
      </c>
      <c r="W200" s="36" t="str">
        <f>IF(Wildert2!Z8=(""),(""),ROUND(Wildert2!Z8/Wildert2!$T8*10,3))</f>
        <v/>
      </c>
      <c r="X200" s="36" t="str">
        <f>IF(Wildert2!AA8=(""),(""),ROUND(Wildert2!AA8/Wildert2!$T8*10,3))</f>
        <v/>
      </c>
      <c r="Y200" s="36" t="str">
        <f>IF(Wildert2!AB8=(""),(""),ROUND(Wildert2!AB8/Wildert2!$T8*10,3))</f>
        <v/>
      </c>
      <c r="Z200" s="36" t="str">
        <f>IF(Wildert2!AC8=(""),(""),ROUND(Wildert2!AC8/Wildert2!$T8*10,3))</f>
        <v/>
      </c>
      <c r="AA200" s="36" t="str">
        <f>IF(Wildert2!AD8=(""),(""),ROUND(Wildert2!AD8/Wildert2!$T8*10,3))</f>
        <v/>
      </c>
      <c r="AB200" s="36" t="str">
        <f>IF(Wildert2!AE8=(""),(""),ROUND(Wildert2!AE8/Wildert2!$T8*10,3))</f>
        <v/>
      </c>
      <c r="AC200" s="36" t="str">
        <f>IF(Wildert2!AF8=(""),(""),ROUND(Wildert2!AF8/Wildert2!$T8*10,3))</f>
        <v/>
      </c>
      <c r="AD200" s="36" t="str">
        <f>IF(Wildert2!AG8=(""),(""),ROUND(Wildert2!AG8/Wildert2!$T8*10,3))</f>
        <v/>
      </c>
      <c r="AE200" s="36"/>
    </row>
    <row r="201" spans="1:31" ht="15" customHeight="1" x14ac:dyDescent="0.3">
      <c r="A201" s="27" t="str">
        <f t="shared" si="143"/>
        <v xml:space="preserve"> </v>
      </c>
      <c r="B201" s="28" t="str">
        <f>Wildert2!A9</f>
        <v>Mutsters Louis</v>
      </c>
      <c r="C201" s="93" t="str">
        <f>IF(Wildert2!AL9=0," ",SUM(E201:AD201))</f>
        <v xml:space="preserve"> </v>
      </c>
      <c r="E201" s="36" t="str">
        <f>IF(Wildert2!C9=(""),(""),ROUND(Wildert2!C9/Wildert2!$B9*10,3))</f>
        <v/>
      </c>
      <c r="F201" s="36" t="str">
        <f>IF(Wildert2!D9=(""),(""),ROUND(Wildert2!D9/Wildert2!$B9*10,3))</f>
        <v/>
      </c>
      <c r="G201" s="36" t="str">
        <f>IF(Wildert2!E9=(""),(""),ROUND(Wildert2!E9/Wildert2!$B9*10,3))</f>
        <v/>
      </c>
      <c r="H201" s="36" t="str">
        <f>IF(Wildert2!F9=(""),(""),ROUND(Wildert2!F9/Wildert2!$B9*10,3))</f>
        <v/>
      </c>
      <c r="I201" s="36" t="str">
        <f>IF(Wildert2!G9=(""),(""),ROUND(Wildert2!G9/Wildert2!$B9*10,3))</f>
        <v/>
      </c>
      <c r="J201" s="36" t="str">
        <f>IF(Wildert2!H9=(""),(""),ROUND(Wildert2!H9/Wildert2!$B9*10,3))</f>
        <v/>
      </c>
      <c r="K201" s="36" t="str">
        <f>IF(Wildert2!I9=(""),(""),ROUND(Wildert2!I9/Wildert2!$B9*10,3))</f>
        <v/>
      </c>
      <c r="L201" s="36" t="str">
        <f>IF(Wildert2!J9=(""),(""),ROUND(Wildert2!J9/Wildert2!$B9*10,3))</f>
        <v/>
      </c>
      <c r="M201" s="36" t="str">
        <f>IF(Wildert2!K9=(""),(""),ROUND(Wildert2!K9/Wildert2!$B9*10,3))</f>
        <v/>
      </c>
      <c r="N201" s="36" t="str">
        <f>IF(Wildert2!L9=(""),(""),ROUND(Wildert2!L9/Wildert2!$B9*10,3))</f>
        <v/>
      </c>
      <c r="O201" s="36" t="str">
        <f>IF(Wildert2!M9=(""),(""),ROUND(Wildert2!M9/Wildert2!$B9*10,3))</f>
        <v/>
      </c>
      <c r="P201" s="36" t="str">
        <f>IF(Wildert2!N9=(""),(""),ROUND(Wildert2!N9/Wildert2!$B9*10,3))</f>
        <v/>
      </c>
      <c r="Q201" s="36" t="str">
        <f>IF(Wildert2!O9=(""),(""),ROUND(Wildert2!O9/Wildert2!$B9*10,3))</f>
        <v/>
      </c>
      <c r="R201" s="36" t="str">
        <f>IF(Wildert2!U9=(""),(""),ROUND(Wildert2!U9/Wildert2!$T9*10,3))</f>
        <v/>
      </c>
      <c r="S201" s="36" t="str">
        <f>IF(Wildert2!V9=(""),(""),ROUND(Wildert2!V9/Wildert2!$T9*10,3))</f>
        <v/>
      </c>
      <c r="T201" s="36" t="str">
        <f>IF(Wildert2!W9=(""),(""),ROUND(Wildert2!W9/Wildert2!$T9*10,3))</f>
        <v/>
      </c>
      <c r="U201" s="36" t="str">
        <f>IF(Wildert2!X9=(""),(""),ROUND(Wildert2!X9/Wildert2!$T9*10,3))</f>
        <v/>
      </c>
      <c r="V201" s="36" t="str">
        <f>IF(Wildert2!Y9=(""),(""),ROUND(Wildert2!Y9/Wildert2!$T9*10,3))</f>
        <v/>
      </c>
      <c r="W201" s="36" t="str">
        <f>IF(Wildert2!Z9=(""),(""),ROUND(Wildert2!Z9/Wildert2!$T9*10,3))</f>
        <v/>
      </c>
      <c r="X201" s="36" t="str">
        <f>IF(Wildert2!AA9=(""),(""),ROUND(Wildert2!AA9/Wildert2!$T9*10,3))</f>
        <v/>
      </c>
      <c r="Y201" s="36" t="str">
        <f>IF(Wildert2!AB9=(""),(""),ROUND(Wildert2!AB9/Wildert2!$T9*10,3))</f>
        <v/>
      </c>
      <c r="Z201" s="36" t="str">
        <f>IF(Wildert2!AC9=(""),(""),ROUND(Wildert2!AC9/Wildert2!$T9*10,3))</f>
        <v/>
      </c>
      <c r="AA201" s="36" t="str">
        <f>IF(Wildert2!AD9=(""),(""),ROUND(Wildert2!AD9/Wildert2!$T9*10,3))</f>
        <v/>
      </c>
      <c r="AB201" s="36" t="str">
        <f>IF(Wildert2!AE9=(""),(""),ROUND(Wildert2!AE9/Wildert2!$T9*10,3))</f>
        <v/>
      </c>
      <c r="AC201" s="36" t="str">
        <f>IF(Wildert2!AF9=(""),(""),ROUND(Wildert2!AF9/Wildert2!$T9*10,3))</f>
        <v/>
      </c>
      <c r="AD201" s="36" t="str">
        <f>IF(Wildert2!AG9=(""),(""),ROUND(Wildert2!AG9/Wildert2!$T9*10,3))</f>
        <v/>
      </c>
      <c r="AE201" s="36"/>
    </row>
    <row r="202" spans="1:31" ht="15" customHeight="1" x14ac:dyDescent="0.3">
      <c r="A202" s="27">
        <f t="shared" si="143"/>
        <v>5</v>
      </c>
      <c r="B202" s="210" t="str">
        <f>Wildert2!A10</f>
        <v>Peeters Hugo [NS 36]</v>
      </c>
      <c r="C202" s="32">
        <f>IF(Wildert2!AL10=0," ",SUM(E202:AD202))</f>
        <v>51.60199999999999</v>
      </c>
      <c r="E202" s="265">
        <f>IF(Wildert2!C10=(""),(""),ROUND(Wildert2!C10/36*10,3))</f>
        <v>7.5</v>
      </c>
      <c r="F202" s="36" t="str">
        <f>IF(Wildert2!D10=(""),(""),ROUND(Wildert2!D10/Wildert2!$B10*10,3))</f>
        <v/>
      </c>
      <c r="G202" s="36" t="str">
        <f>IF(Wildert2!E10=(""),(""),ROUND(Wildert2!E10/Wildert2!$B10*10,3))</f>
        <v/>
      </c>
      <c r="H202" s="265">
        <f>IF(Wildert2!F10=(""),(""),ROUND(Wildert2!F10/36*10,3))</f>
        <v>13.055999999999999</v>
      </c>
      <c r="I202" s="36" t="str">
        <f>IF(Wildert2!G10=(""),(""),ROUND(Wildert2!G10/Wildert2!$B10*10,3))</f>
        <v/>
      </c>
      <c r="J202" s="36" t="str">
        <f>IF(Wildert2!H10=(""),(""),ROUND(Wildert2!H10/Wildert2!$B10*10,3))</f>
        <v/>
      </c>
      <c r="K202" s="265">
        <f>IF(Wildert2!I10=(""),(""),ROUND(Wildert2!I10/36*10,3))</f>
        <v>15</v>
      </c>
      <c r="L202" s="36">
        <f>IF(Wildert2!J10=(""),(""),ROUND(Wildert2!J10/Wildert2!$B10*10,3))</f>
        <v>11.395</v>
      </c>
      <c r="M202" s="36" t="str">
        <f>IF(Wildert2!K10=(""),(""),ROUND(Wildert2!K10/Wildert2!$B10*10,3))</f>
        <v/>
      </c>
      <c r="N202" s="36">
        <f>IF(Wildert2!L10=(""),(""),ROUND(Wildert2!L10/Wildert2!$B10*10,3))</f>
        <v>4.6509999999999998</v>
      </c>
      <c r="O202" s="36" t="str">
        <f>IF(Wildert2!M10=(""),(""),ROUND(Wildert2!M10/Wildert2!$B10*10,3))</f>
        <v/>
      </c>
      <c r="P202" s="36" t="str">
        <f>IF(Wildert2!N10=(""),(""),ROUND(Wildert2!N10/Wildert2!$B10*10,3))</f>
        <v/>
      </c>
      <c r="Q202" s="36" t="str">
        <f>IF(Wildert2!O10=(""),(""),ROUND(Wildert2!O10/Wildert2!$B10*10,3))</f>
        <v/>
      </c>
      <c r="R202" s="36" t="str">
        <f>IF(Wildert2!U10=(""),(""),ROUND(Wildert2!U10/Wildert2!$T10*10,3))</f>
        <v/>
      </c>
      <c r="S202" s="36" t="str">
        <f>IF(Wildert2!V10=(""),(""),ROUND(Wildert2!V10/Wildert2!$T10*10,3))</f>
        <v/>
      </c>
      <c r="T202" s="36" t="str">
        <f>IF(Wildert2!W10=(""),(""),ROUND(Wildert2!W10/Wildert2!$T10*10,3))</f>
        <v/>
      </c>
      <c r="U202" s="36" t="str">
        <f>IF(Wildert2!X10=(""),(""),ROUND(Wildert2!X10/Wildert2!$T10*10,3))</f>
        <v/>
      </c>
      <c r="V202" s="36" t="str">
        <f>IF(Wildert2!Y10=(""),(""),ROUND(Wildert2!Y10/Wildert2!$T10*10,3))</f>
        <v/>
      </c>
      <c r="W202" s="36" t="str">
        <f>IF(Wildert2!Z10=(""),(""),ROUND(Wildert2!Z10/Wildert2!$T10*10,3))</f>
        <v/>
      </c>
      <c r="X202" s="36" t="str">
        <f>IF(Wildert2!AA10=(""),(""),ROUND(Wildert2!AA10/Wildert2!$T10*10,3))</f>
        <v/>
      </c>
      <c r="Y202" s="36" t="str">
        <f>IF(Wildert2!AB10=(""),(""),ROUND(Wildert2!AB10/Wildert2!$T10*10,3))</f>
        <v/>
      </c>
      <c r="Z202" s="36" t="str">
        <f>IF(Wildert2!AC10=(""),(""),ROUND(Wildert2!AC10/Wildert2!$T10*10,3))</f>
        <v/>
      </c>
      <c r="AA202" s="36" t="str">
        <f>IF(Wildert2!AD10=(""),(""),ROUND(Wildert2!AD10/Wildert2!$T10*10,3))</f>
        <v/>
      </c>
      <c r="AB202" s="36" t="str">
        <f>IF(Wildert2!AE10=(""),(""),ROUND(Wildert2!AE10/Wildert2!$T10*10,3))</f>
        <v/>
      </c>
      <c r="AC202" s="36" t="str">
        <f>IF(Wildert2!AF10=(""),(""),ROUND(Wildert2!AF10/Wildert2!$T10*10,3))</f>
        <v/>
      </c>
      <c r="AD202" s="36" t="str">
        <f>IF(Wildert2!AG10=(""),(""),ROUND(Wildert2!AG10/Wildert2!$T10*10,3))</f>
        <v/>
      </c>
      <c r="AE202" s="36"/>
    </row>
    <row r="203" spans="1:31" ht="15" customHeight="1" x14ac:dyDescent="0.3">
      <c r="A203" s="27">
        <f t="shared" si="143"/>
        <v>9</v>
      </c>
      <c r="B203" s="38" t="str">
        <f>Wildert2!A11</f>
        <v xml:space="preserve">Scholtis Vic  [NS 49] </v>
      </c>
      <c r="C203" s="32">
        <f>IF(Wildert2!AL11=0," ",SUM(E203:AD203))</f>
        <v>102.57300000000001</v>
      </c>
      <c r="E203" s="36" t="str">
        <f>IF(Wildert2!C11=(""),(""),ROUND(Wildert2!C11/Wildert2!$B11*10,3))</f>
        <v/>
      </c>
      <c r="F203" s="265">
        <f>IF(Wildert2!D11=(""),(""),ROUND(Wildert2!D11/49*10,3))</f>
        <v>4.8979999999999997</v>
      </c>
      <c r="G203" s="36" t="str">
        <f>IF(Wildert2!E11=(""),(""),ROUND(Wildert2!E11/Wildert2!$B11*10,3))</f>
        <v/>
      </c>
      <c r="H203" s="265">
        <f>IF(Wildert2!F11=(""),(""),ROUND(Wildert2!F11/49*10,3))</f>
        <v>10</v>
      </c>
      <c r="I203" s="265">
        <f>IF(Wildert2!G11=(""),(""),ROUND(Wildert2!G11/49*10,3))</f>
        <v>6.5309999999999997</v>
      </c>
      <c r="J203" s="268">
        <f>IF(Wildert2!H11=(""),(""),ROUND(Wildert2!H11/Wildert2!$B11*10,3))</f>
        <v>19.428999999999998</v>
      </c>
      <c r="K203" s="36">
        <f>IF(Wildert2!I11=(""),(""),ROUND(Wildert2!I11/Wildert2!$B11*10,3))</f>
        <v>11.429</v>
      </c>
      <c r="L203" s="36" t="str">
        <f>IF(Wildert2!J11=(""),(""),ROUND(Wildert2!J11/Wildert2!$B11*10,3))</f>
        <v/>
      </c>
      <c r="M203" s="36">
        <f>IF(Wildert2!K11=(""),(""),ROUND(Wildert2!K11/Wildert2!$B11*10,3))</f>
        <v>11.429</v>
      </c>
      <c r="N203" s="36">
        <f>IF(Wildert2!L11=(""),(""),ROUND(Wildert2!L11/Wildert2!$B11*10,3))</f>
        <v>6.8570000000000002</v>
      </c>
      <c r="O203" s="36" t="str">
        <f>IF(Wildert2!M11=(""),(""),ROUND(Wildert2!M11/Wildert2!$B11*10,3))</f>
        <v/>
      </c>
      <c r="P203" s="36">
        <f>IF(Wildert2!N11=(""),(""),ROUND(Wildert2!N11/Wildert2!$B11*10,3))</f>
        <v>17.713999999999999</v>
      </c>
      <c r="Q203" s="36">
        <f>IF(Wildert2!O11=(""),(""),ROUND(Wildert2!O11/Wildert2!$B11*10,3))</f>
        <v>14.286</v>
      </c>
      <c r="R203" s="36" t="str">
        <f>IF(Wildert2!U11=(""),(""),ROUND(Wildert2!U11/Wildert2!$T11*10,3))</f>
        <v/>
      </c>
      <c r="S203" s="36" t="str">
        <f>IF(Wildert2!V11=(""),(""),ROUND(Wildert2!V11/Wildert2!$T11*10,3))</f>
        <v/>
      </c>
      <c r="T203" s="36" t="str">
        <f>IF(Wildert2!W11=(""),(""),ROUND(Wildert2!W11/Wildert2!$T11*10,3))</f>
        <v/>
      </c>
      <c r="U203" s="36" t="str">
        <f>IF(Wildert2!X11=(""),(""),ROUND(Wildert2!X11/Wildert2!$T11*10,3))</f>
        <v/>
      </c>
      <c r="V203" s="36" t="str">
        <f>IF(Wildert2!Y11=(""),(""),ROUND(Wildert2!Y11/Wildert2!$T11*10,3))</f>
        <v/>
      </c>
      <c r="W203" s="36" t="str">
        <f>IF(Wildert2!Z11=(""),(""),ROUND(Wildert2!Z11/Wildert2!$T11*10,3))</f>
        <v/>
      </c>
      <c r="X203" s="36" t="str">
        <f>IF(Wildert2!AA11=(""),(""),ROUND(Wildert2!AA11/Wildert2!$T11*10,3))</f>
        <v/>
      </c>
      <c r="Y203" s="36" t="str">
        <f>IF(Wildert2!AB11=(""),(""),ROUND(Wildert2!AB11/Wildert2!$T11*10,3))</f>
        <v/>
      </c>
      <c r="Z203" s="36" t="str">
        <f>IF(Wildert2!AC11=(""),(""),ROUND(Wildert2!AC11/Wildert2!$T11*10,3))</f>
        <v/>
      </c>
      <c r="AA203" s="36" t="str">
        <f>IF(Wildert2!AD11=(""),(""),ROUND(Wildert2!AD11/Wildert2!$T11*10,3))</f>
        <v/>
      </c>
      <c r="AB203" s="36" t="str">
        <f>IF(Wildert2!AE11=(""),(""),ROUND(Wildert2!AE11/Wildert2!$T11*10,3))</f>
        <v/>
      </c>
      <c r="AC203" s="36" t="str">
        <f>IF(Wildert2!AF11=(""),(""),ROUND(Wildert2!AF11/Wildert2!$T11*10,3))</f>
        <v/>
      </c>
      <c r="AD203" s="36" t="str">
        <f>IF(Wildert2!AG11=(""),(""),ROUND(Wildert2!AG11/Wildert2!$T11*10,3))</f>
        <v/>
      </c>
      <c r="AE203" s="36"/>
    </row>
    <row r="204" spans="1:31" ht="15" customHeight="1" x14ac:dyDescent="0.3">
      <c r="A204" s="27">
        <f t="shared" si="143"/>
        <v>2</v>
      </c>
      <c r="B204" s="80" t="str">
        <f>Wildert2!A12</f>
        <v>Van Den Bergh Jacky</v>
      </c>
      <c r="C204" s="32">
        <f>IF(Wildert2!AL12=0," ",SUM(E204:AD204))</f>
        <v>30.55</v>
      </c>
      <c r="E204" s="36" t="str">
        <f>IF(Wildert2!C12=(""),(""),ROUND(Wildert2!C12/Wildert2!$B12*10,3))</f>
        <v/>
      </c>
      <c r="F204" s="36" t="str">
        <f>IF(Wildert2!D12=(""),(""),ROUND(Wildert2!D12/Wildert2!$B12*10,3))</f>
        <v/>
      </c>
      <c r="G204" s="36" t="str">
        <f>IF(Wildert2!E12=(""),(""),ROUND(Wildert2!E12/Wildert2!$B12*10,3))</f>
        <v/>
      </c>
      <c r="H204" s="36" t="str">
        <f>IF(Wildert2!F12=(""),(""),ROUND(Wildert2!F12/Wildert2!$B12*10,3))</f>
        <v/>
      </c>
      <c r="I204" s="36">
        <f>IF(Wildert2!G12=(""),(""),ROUND(Wildert2!G12/Wildert2!$B12*10,3))</f>
        <v>13.119</v>
      </c>
      <c r="J204" s="36" t="str">
        <f>IF(Wildert2!H12=(""),(""),ROUND(Wildert2!H12/Wildert2!$B12*10,3))</f>
        <v/>
      </c>
      <c r="K204" s="36" t="str">
        <f>IF(Wildert2!I12=(""),(""),ROUND(Wildert2!I12/Wildert2!$B12*10,3))</f>
        <v/>
      </c>
      <c r="L204" s="36" t="str">
        <f>IF(Wildert2!J12=(""),(""),ROUND(Wildert2!J12/Wildert2!$B12*10,3))</f>
        <v/>
      </c>
      <c r="M204" s="36" t="str">
        <f>IF(Wildert2!K12=(""),(""),ROUND(Wildert2!K12/Wildert2!$B12*10,3))</f>
        <v/>
      </c>
      <c r="N204" s="36" t="str">
        <f>IF(Wildert2!L12=(""),(""),ROUND(Wildert2!L12/Wildert2!$B12*10,3))</f>
        <v/>
      </c>
      <c r="O204" s="36">
        <f>IF(Wildert2!M12=(""),(""),ROUND(Wildert2!M12/Wildert2!$B12*10,3))</f>
        <v>17.431000000000001</v>
      </c>
      <c r="P204" s="36" t="str">
        <f>IF(Wildert2!N12=(""),(""),ROUND(Wildert2!N12/Wildert2!$B12*10,3))</f>
        <v/>
      </c>
      <c r="Q204" s="36" t="str">
        <f>IF(Wildert2!O12=(""),(""),ROUND(Wildert2!O12/Wildert2!$B12*10,3))</f>
        <v/>
      </c>
      <c r="R204" s="36" t="str">
        <f>IF(Wildert2!U12=(""),(""),ROUND(Wildert2!U12/Wildert2!$T12*10,3))</f>
        <v/>
      </c>
      <c r="S204" s="36" t="str">
        <f>IF(Wildert2!V12=(""),(""),ROUND(Wildert2!V12/Wildert2!$T12*10,3))</f>
        <v/>
      </c>
      <c r="T204" s="36" t="str">
        <f>IF(Wildert2!W12=(""),(""),ROUND(Wildert2!W12/Wildert2!$T12*10,3))</f>
        <v/>
      </c>
      <c r="U204" s="36" t="str">
        <f>IF(Wildert2!X12=(""),(""),ROUND(Wildert2!X12/Wildert2!$T12*10,3))</f>
        <v/>
      </c>
      <c r="V204" s="36" t="str">
        <f>IF(Wildert2!Y12=(""),(""),ROUND(Wildert2!Y12/Wildert2!$T12*10,3))</f>
        <v/>
      </c>
      <c r="W204" s="36" t="str">
        <f>IF(Wildert2!Z12=(""),(""),ROUND(Wildert2!Z12/Wildert2!$T12*10,3))</f>
        <v/>
      </c>
      <c r="X204" s="36" t="str">
        <f>IF(Wildert2!AA12=(""),(""),ROUND(Wildert2!AA12/Wildert2!$T12*10,3))</f>
        <v/>
      </c>
      <c r="Y204" s="36" t="str">
        <f>IF(Wildert2!AB12=(""),(""),ROUND(Wildert2!AB12/Wildert2!$T12*10,3))</f>
        <v/>
      </c>
      <c r="Z204" s="36" t="str">
        <f>IF(Wildert2!AC12=(""),(""),ROUND(Wildert2!AC12/Wildert2!$T12*10,3))</f>
        <v/>
      </c>
      <c r="AA204" s="36" t="str">
        <f>IF(Wildert2!AD12=(""),(""),ROUND(Wildert2!AD12/Wildert2!$T12*10,3))</f>
        <v/>
      </c>
      <c r="AB204" s="36" t="str">
        <f>IF(Wildert2!AE12=(""),(""),ROUND(Wildert2!AE12/Wildert2!$T12*10,3))</f>
        <v/>
      </c>
      <c r="AC204" s="36" t="str">
        <f>IF(Wildert2!AF12=(""),(""),ROUND(Wildert2!AF12/Wildert2!$T12*10,3))</f>
        <v/>
      </c>
      <c r="AD204" s="36" t="str">
        <f>IF(Wildert2!AG12=(""),(""),ROUND(Wildert2!AG12/Wildert2!$T12*10,3))</f>
        <v/>
      </c>
      <c r="AE204" s="36"/>
    </row>
    <row r="205" spans="1:31" ht="15" customHeight="1" x14ac:dyDescent="0.3">
      <c r="A205" s="27">
        <f t="shared" si="143"/>
        <v>10</v>
      </c>
      <c r="B205" s="28" t="str">
        <f>Wildert2!A13</f>
        <v xml:space="preserve">Van Ginneken Ludo </v>
      </c>
      <c r="C205" s="32">
        <f>IF(Wildert2!AL13=0," ",SUM(E205:AD205))</f>
        <v>108.88800000000001</v>
      </c>
      <c r="E205" s="36" t="str">
        <f>IF(Wildert2!C13=(""),(""),ROUND(Wildert2!C13/Wildert2!$B13*10,3))</f>
        <v/>
      </c>
      <c r="F205" s="36">
        <f>IF(Wildert2!D13=(""),(""),ROUND(Wildert2!D13/Wildert2!$B13*10,3))</f>
        <v>14.888999999999999</v>
      </c>
      <c r="G205" s="269">
        <f>IF(Wildert2!E13=(""),(""),ROUND(Wildert2!E13/Wildert2!$B13*10,3))</f>
        <v>12.222</v>
      </c>
      <c r="H205" s="36" t="str">
        <f>IF(Wildert2!F13=(""),(""),ROUND(Wildert2!F13/Wildert2!$B13*10,3))</f>
        <v/>
      </c>
      <c r="I205" s="36" t="str">
        <f>IF(Wildert2!G13=(""),(""),ROUND(Wildert2!G13/Wildert2!$B13*10,3))</f>
        <v/>
      </c>
      <c r="J205" s="268">
        <f>IF(Wildert2!H13=(""),(""),ROUND(Wildert2!H13/Wildert2!$B13*10,3))</f>
        <v>15.333</v>
      </c>
      <c r="K205" s="36">
        <f>IF(Wildert2!I13=(""),(""),ROUND(Wildert2!I13/Wildert2!$B13*10,3))</f>
        <v>8.6669999999999998</v>
      </c>
      <c r="L205" s="36">
        <f>IF(Wildert2!J13=(""),(""),ROUND(Wildert2!J13/Wildert2!$B13*10,3))</f>
        <v>11.111000000000001</v>
      </c>
      <c r="M205" s="36">
        <f>IF(Wildert2!K13=(""),(""),ROUND(Wildert2!K13/Wildert2!$B13*10,3))</f>
        <v>11.778</v>
      </c>
      <c r="N205" s="36">
        <f>IF(Wildert2!L13=(""),(""),ROUND(Wildert2!L13/Wildert2!$B13*10,3))</f>
        <v>6.444</v>
      </c>
      <c r="O205" s="36">
        <f>IF(Wildert2!M13=(""),(""),ROUND(Wildert2!M13/Wildert2!$B13*10,3))</f>
        <v>8.6669999999999998</v>
      </c>
      <c r="P205" s="36">
        <f>IF(Wildert2!N13=(""),(""),ROUND(Wildert2!N13/Wildert2!$B13*10,3))</f>
        <v>9.3330000000000002</v>
      </c>
      <c r="Q205" s="36">
        <f>IF(Wildert2!O13=(""),(""),ROUND(Wildert2!O13/Wildert2!$B13*10,3))</f>
        <v>10.444000000000001</v>
      </c>
      <c r="R205" s="36" t="str">
        <f>IF(Wildert2!U13=(""),(""),ROUND(Wildert2!U13/Wildert2!$T13*10,3))</f>
        <v/>
      </c>
      <c r="S205" s="36" t="str">
        <f>IF(Wildert2!V13=(""),(""),ROUND(Wildert2!V13/Wildert2!$T13*10,3))</f>
        <v/>
      </c>
      <c r="T205" s="36" t="str">
        <f>IF(Wildert2!W13=(""),(""),ROUND(Wildert2!W13/Wildert2!$T13*10,3))</f>
        <v/>
      </c>
      <c r="U205" s="36" t="str">
        <f>IF(Wildert2!X13=(""),(""),ROUND(Wildert2!X13/Wildert2!$T13*10,3))</f>
        <v/>
      </c>
      <c r="V205" s="36" t="str">
        <f>IF(Wildert2!Y13=(""),(""),ROUND(Wildert2!Y13/Wildert2!$T13*10,3))</f>
        <v/>
      </c>
      <c r="W205" s="36" t="str">
        <f>IF(Wildert2!Z13=(""),(""),ROUND(Wildert2!Z13/Wildert2!$T13*10,3))</f>
        <v/>
      </c>
      <c r="X205" s="36" t="str">
        <f>IF(Wildert2!AA13=(""),(""),ROUND(Wildert2!AA13/Wildert2!$T13*10,3))</f>
        <v/>
      </c>
      <c r="Y205" s="36" t="str">
        <f>IF(Wildert2!AB13=(""),(""),ROUND(Wildert2!AB13/Wildert2!$T13*10,3))</f>
        <v/>
      </c>
      <c r="Z205" s="36" t="str">
        <f>IF(Wildert2!AC13=(""),(""),ROUND(Wildert2!AC13/Wildert2!$T13*10,3))</f>
        <v/>
      </c>
      <c r="AA205" s="36" t="str">
        <f>IF(Wildert2!AD13=(""),(""),ROUND(Wildert2!AD13/Wildert2!$T13*10,3))</f>
        <v/>
      </c>
      <c r="AB205" s="36" t="str">
        <f>IF(Wildert2!AE13=(""),(""),ROUND(Wildert2!AE13/Wildert2!$T13*10,3))</f>
        <v/>
      </c>
      <c r="AC205" s="36" t="str">
        <f>IF(Wildert2!AF13=(""),(""),ROUND(Wildert2!AF13/Wildert2!$T13*10,3))</f>
        <v/>
      </c>
      <c r="AD205" s="36" t="str">
        <f>IF(Wildert2!AG13=(""),(""),ROUND(Wildert2!AG13/Wildert2!$T13*10,3))</f>
        <v/>
      </c>
      <c r="AE205" s="36"/>
    </row>
    <row r="206" spans="1:31" ht="15" customHeight="1" x14ac:dyDescent="0.3">
      <c r="A206" s="27">
        <f t="shared" si="143"/>
        <v>9</v>
      </c>
      <c r="B206" s="28" t="str">
        <f>Wildert2!A14</f>
        <v>Van Hooydonck Swa</v>
      </c>
      <c r="C206" s="32">
        <f>IF(Wildert2!AL14=0," ",SUM(E206:AD206))</f>
        <v>84</v>
      </c>
      <c r="E206" s="36">
        <f>IF(Wildert2!C14=(""),(""),ROUND(Wildert2!C14/Wildert2!$B14*10,3))</f>
        <v>9.7140000000000004</v>
      </c>
      <c r="F206" s="36" t="str">
        <f>IF(Wildert2!D14=(""),(""),ROUND(Wildert2!D14/Wildert2!$B14*10,3))</f>
        <v/>
      </c>
      <c r="G206" s="269">
        <f>IF(Wildert2!E14=(""),(""),ROUND(Wildert2!E14/Wildert2!$B14*10,3))</f>
        <v>10.286</v>
      </c>
      <c r="H206" s="36">
        <f>IF(Wildert2!F14=(""),(""),ROUND(Wildert2!F14/Wildert2!$B14*10,3))</f>
        <v>5.4290000000000003</v>
      </c>
      <c r="I206" s="36">
        <f>IF(Wildert2!G14=(""),(""),ROUND(Wildert2!G14/Wildert2!$B14*10,3))</f>
        <v>10.571</v>
      </c>
      <c r="J206" s="36" t="str">
        <f>IF(Wildert2!H14=(""),(""),ROUND(Wildert2!H14/Wildert2!$B14*10,3))</f>
        <v/>
      </c>
      <c r="K206" s="36" t="str">
        <f>IF(Wildert2!I14=(""),(""),ROUND(Wildert2!I14/Wildert2!$B14*10,3))</f>
        <v/>
      </c>
      <c r="L206" s="36">
        <f>IF(Wildert2!J14=(""),(""),ROUND(Wildert2!J14/Wildert2!$B14*10,3))</f>
        <v>6.5709999999999997</v>
      </c>
      <c r="M206" s="36">
        <f>IF(Wildert2!K14=(""),(""),ROUND(Wildert2!K14/Wildert2!$B14*10,3))</f>
        <v>9.1430000000000007</v>
      </c>
      <c r="N206" s="36" t="str">
        <f>IF(Wildert2!L14=(""),(""),ROUND(Wildert2!L14/Wildert2!$B14*10,3))</f>
        <v/>
      </c>
      <c r="O206" s="36">
        <f>IF(Wildert2!M14=(""),(""),ROUND(Wildert2!M14/Wildert2!$B14*10,3))</f>
        <v>10</v>
      </c>
      <c r="P206" s="36" t="str">
        <f>IF(Wildert2!N14=(""),(""),ROUND(Wildert2!N14/Wildert2!$B14*10,3))</f>
        <v/>
      </c>
      <c r="Q206" s="36">
        <f>IF(Wildert2!O14=(""),(""),ROUND(Wildert2!O14/Wildert2!$B14*10,3))</f>
        <v>15.143000000000001</v>
      </c>
      <c r="R206" s="36">
        <f>IF(Wildert2!U14=(""),(""),ROUND(Wildert2!U14/Wildert2!$T14*10,3))</f>
        <v>7.1429999999999998</v>
      </c>
      <c r="S206" s="36" t="str">
        <f>IF(Wildert2!V14=(""),(""),ROUND(Wildert2!V14/Wildert2!$T14*10,3))</f>
        <v/>
      </c>
      <c r="T206" s="36" t="str">
        <f>IF(Wildert2!W14=(""),(""),ROUND(Wildert2!W14/Wildert2!$T14*10,3))</f>
        <v/>
      </c>
      <c r="U206" s="36" t="str">
        <f>IF(Wildert2!X14=(""),(""),ROUND(Wildert2!X14/Wildert2!$T14*10,3))</f>
        <v/>
      </c>
      <c r="V206" s="36" t="str">
        <f>IF(Wildert2!Y14=(""),(""),ROUND(Wildert2!Y14/Wildert2!$T14*10,3))</f>
        <v/>
      </c>
      <c r="W206" s="36" t="str">
        <f>IF(Wildert2!Z14=(""),(""),ROUND(Wildert2!Z14/Wildert2!$T14*10,3))</f>
        <v/>
      </c>
      <c r="X206" s="36" t="str">
        <f>IF(Wildert2!AA14=(""),(""),ROUND(Wildert2!AA14/Wildert2!$T14*10,3))</f>
        <v/>
      </c>
      <c r="Y206" s="36" t="str">
        <f>IF(Wildert2!AB14=(""),(""),ROUND(Wildert2!AB14/Wildert2!$T14*10,3))</f>
        <v/>
      </c>
      <c r="Z206" s="36" t="str">
        <f>IF(Wildert2!AC14=(""),(""),ROUND(Wildert2!AC14/Wildert2!$T14*10,3))</f>
        <v/>
      </c>
      <c r="AA206" s="36" t="str">
        <f>IF(Wildert2!AD14=(""),(""),ROUND(Wildert2!AD14/Wildert2!$T14*10,3))</f>
        <v/>
      </c>
      <c r="AB206" s="36" t="str">
        <f>IF(Wildert2!AE14=(""),(""),ROUND(Wildert2!AE14/Wildert2!$T14*10,3))</f>
        <v/>
      </c>
      <c r="AC206" s="36" t="str">
        <f>IF(Wildert2!AF14=(""),(""),ROUND(Wildert2!AF14/Wildert2!$T14*10,3))</f>
        <v/>
      </c>
      <c r="AD206" s="36" t="str">
        <f>IF(Wildert2!AG14=(""),(""),ROUND(Wildert2!AG14/Wildert2!$T14*10,3))</f>
        <v/>
      </c>
      <c r="AE206" s="36"/>
    </row>
    <row r="207" spans="1:31" ht="16.95" customHeight="1" x14ac:dyDescent="0.3">
      <c r="A207" s="27">
        <f t="shared" ref="A207" si="144">IF(SUM(E207:AD207)=0,(" "),COUNTIF(E207:AD207,"&gt;0"))</f>
        <v>3</v>
      </c>
      <c r="B207" s="28" t="str">
        <f>Wildert2!A15</f>
        <v>Wiericx Herman</v>
      </c>
      <c r="C207" s="32">
        <f>IF(Wildert2!AL15=0," ",SUM(E207:AD207))</f>
        <v>35.200000000000003</v>
      </c>
      <c r="E207" s="36" t="str">
        <f>IF(Wildert2!C15=(""),(""),ROUND(Wildert2!C15/Wildert2!$B15*10,3))</f>
        <v/>
      </c>
      <c r="F207" s="36">
        <f>IF(Wildert2!D15=(""),(""),ROUND(Wildert2!D15/Wildert2!$B15*10,3))</f>
        <v>9</v>
      </c>
      <c r="G207" s="269">
        <f>IF(Wildert2!E15=(""),(""),ROUND(Wildert2!E15/Wildert2!$B15*10,3))</f>
        <v>15.8</v>
      </c>
      <c r="H207" s="36" t="str">
        <f>IF(Wildert2!F15=(""),(""),ROUND(Wildert2!F15/Wildert2!$B15*10,3))</f>
        <v/>
      </c>
      <c r="I207" s="36" t="str">
        <f>IF(Wildert2!G15=(""),(""),ROUND(Wildert2!G15/Wildert2!$B15*10,3))</f>
        <v/>
      </c>
      <c r="J207" s="36" t="str">
        <f>IF(Wildert2!H15=(""),(""),ROUND(Wildert2!H15/Wildert2!$B15*10,3))</f>
        <v/>
      </c>
      <c r="K207" s="36" t="str">
        <f>IF(Wildert2!I15=(""),(""),ROUND(Wildert2!I15/Wildert2!$B15*10,3))</f>
        <v/>
      </c>
      <c r="L207" s="36" t="str">
        <f>IF(Wildert2!J15=(""),(""),ROUND(Wildert2!J15/Wildert2!$B15*10,3))</f>
        <v/>
      </c>
      <c r="M207" s="36" t="str">
        <f>IF(Wildert2!K15=(""),(""),ROUND(Wildert2!K15/Wildert2!$B15*10,3))</f>
        <v/>
      </c>
      <c r="N207" s="36" t="str">
        <f>IF(Wildert2!L15=(""),(""),ROUND(Wildert2!L15/Wildert2!$B15*10,3))</f>
        <v/>
      </c>
      <c r="O207" s="36" t="str">
        <f>IF(Wildert2!M15=(""),(""),ROUND(Wildert2!M15/Wildert2!$B15*10,3))</f>
        <v/>
      </c>
      <c r="P207" s="36">
        <f>IF(Wildert2!N15=(""),(""),ROUND(Wildert2!N15/Wildert2!$B15*10,3))</f>
        <v>10.4</v>
      </c>
      <c r="Q207" s="36" t="str">
        <f>IF(Wildert2!O15=(""),(""),ROUND(Wildert2!O15/Wildert2!$B15*10,3))</f>
        <v/>
      </c>
      <c r="R207" s="36" t="str">
        <f>IF(Wildert2!U15=(""),(""),ROUND(Wildert2!U15/Wildert2!$T15*10,3))</f>
        <v/>
      </c>
      <c r="S207" s="36" t="str">
        <f>IF(Wildert2!V15=(""),(""),ROUND(Wildert2!V15/Wildert2!$T15*10,3))</f>
        <v/>
      </c>
      <c r="T207" s="36" t="str">
        <f>IF(Wildert2!W15=(""),(""),ROUND(Wildert2!W15/Wildert2!$T15*10,3))</f>
        <v/>
      </c>
      <c r="U207" s="36" t="str">
        <f>IF(Wildert2!X15=(""),(""),ROUND(Wildert2!X15/Wildert2!$T15*10,3))</f>
        <v/>
      </c>
      <c r="V207" s="36" t="str">
        <f>IF(Wildert2!Y15=(""),(""),ROUND(Wildert2!Y15/Wildert2!$T15*10,3))</f>
        <v/>
      </c>
      <c r="W207" s="36" t="str">
        <f>IF(Wildert2!Z15=(""),(""),ROUND(Wildert2!Z15/Wildert2!$T15*10,3))</f>
        <v/>
      </c>
      <c r="X207" s="36" t="str">
        <f>IF(Wildert2!AA15=(""),(""),ROUND(Wildert2!AA15/Wildert2!$T15*10,3))</f>
        <v/>
      </c>
      <c r="Y207" s="36" t="str">
        <f>IF(Wildert2!AB15=(""),(""),ROUND(Wildert2!AB15/Wildert2!$T15*10,3))</f>
        <v/>
      </c>
      <c r="Z207" s="36" t="str">
        <f>IF(Wildert2!AC15=(""),(""),ROUND(Wildert2!AC15/Wildert2!$T15*10,3))</f>
        <v/>
      </c>
      <c r="AA207" s="36" t="str">
        <f>IF(Wildert2!AD15=(""),(""),ROUND(Wildert2!AD15/Wildert2!$T15*10,3))</f>
        <v/>
      </c>
      <c r="AB207" s="36" t="str">
        <f>IF(Wildert2!AE15=(""),(""),ROUND(Wildert2!AE15/Wildert2!$T15*10,3))</f>
        <v/>
      </c>
      <c r="AC207" s="36" t="str">
        <f>IF(Wildert2!AF15=(""),(""),ROUND(Wildert2!AF15/Wildert2!$T15*10,3))</f>
        <v/>
      </c>
      <c r="AD207" s="36" t="str">
        <f>IF(Wildert2!AG15=(""),(""),ROUND(Wildert2!AG15/Wildert2!$T15*10,3))</f>
        <v/>
      </c>
      <c r="AE207" s="36"/>
    </row>
    <row r="208" spans="1:31" ht="22.2" customHeight="1" x14ac:dyDescent="0.3">
      <c r="C208" s="216" t="str">
        <f>B195</f>
        <v>WILDERT 2</v>
      </c>
      <c r="D208" s="35"/>
      <c r="E208" s="36">
        <f t="shared" ref="E208:AD208" si="145">IF(SUM(E196:E207)=0,(" "),SUM(E196:E207))</f>
        <v>58.744</v>
      </c>
      <c r="F208" s="36">
        <f>IF(SUM(F196:F207)=0,(" "),SUM(F196:F207))-F198</f>
        <v>63.730999999999995</v>
      </c>
      <c r="G208" s="36">
        <f>IF(SUM(G196:G207)=0,(" "),SUM(G196:G207))+F198</f>
        <v>64.975000000000009</v>
      </c>
      <c r="H208" s="36">
        <f t="shared" si="145"/>
        <v>56.853999999999999</v>
      </c>
      <c r="I208" s="36">
        <f t="shared" si="145"/>
        <v>73.739000000000004</v>
      </c>
      <c r="J208" s="36">
        <f>IF(SUM(J196:J207)=0,(" "),SUM(J196:J207))+K199</f>
        <v>85.558999999999997</v>
      </c>
      <c r="K208" s="36">
        <f>IF(SUM(K196:K207)=0,(" "),SUM(K196:K207))-K199</f>
        <v>54.441000000000003</v>
      </c>
      <c r="L208" s="36">
        <f t="shared" si="145"/>
        <v>57.887</v>
      </c>
      <c r="M208" s="36">
        <f t="shared" si="145"/>
        <v>73.556000000000012</v>
      </c>
      <c r="N208" s="36">
        <f t="shared" si="145"/>
        <v>48.582999999999998</v>
      </c>
      <c r="O208" s="36">
        <f t="shared" si="145"/>
        <v>69.228999999999999</v>
      </c>
      <c r="P208" s="36">
        <f t="shared" si="145"/>
        <v>75.402000000000001</v>
      </c>
      <c r="Q208" s="36">
        <f t="shared" si="145"/>
        <v>82.206000000000003</v>
      </c>
      <c r="R208" s="36">
        <f t="shared" si="145"/>
        <v>50.507000000000005</v>
      </c>
      <c r="S208" s="36" t="str">
        <f t="shared" si="145"/>
        <v xml:space="preserve"> </v>
      </c>
      <c r="T208" s="36" t="str">
        <f t="shared" si="145"/>
        <v xml:space="preserve"> </v>
      </c>
      <c r="U208" s="36" t="str">
        <f t="shared" si="145"/>
        <v xml:space="preserve"> </v>
      </c>
      <c r="V208" s="36" t="str">
        <f t="shared" si="145"/>
        <v xml:space="preserve"> </v>
      </c>
      <c r="W208" s="36" t="str">
        <f t="shared" si="145"/>
        <v xml:space="preserve"> </v>
      </c>
      <c r="X208" s="36" t="str">
        <f t="shared" si="145"/>
        <v xml:space="preserve"> </v>
      </c>
      <c r="Y208" s="36" t="str">
        <f t="shared" si="145"/>
        <v xml:space="preserve"> </v>
      </c>
      <c r="Z208" s="36" t="str">
        <f t="shared" si="145"/>
        <v xml:space="preserve"> </v>
      </c>
      <c r="AA208" s="36" t="str">
        <f t="shared" si="145"/>
        <v xml:space="preserve"> </v>
      </c>
      <c r="AB208" s="36" t="str">
        <f t="shared" si="145"/>
        <v xml:space="preserve"> </v>
      </c>
      <c r="AC208" s="36" t="str">
        <f t="shared" si="145"/>
        <v xml:space="preserve"> </v>
      </c>
      <c r="AD208" s="36" t="str">
        <f t="shared" si="145"/>
        <v xml:space="preserve"> </v>
      </c>
      <c r="AE208" s="36"/>
    </row>
    <row r="209" spans="1:31" s="39" customFormat="1" ht="15" customHeight="1" x14ac:dyDescent="0.35">
      <c r="A209" s="37"/>
      <c r="B209" s="38"/>
      <c r="C209" s="41">
        <f>SUM(C196:C207)</f>
        <v>915.41300000000001</v>
      </c>
      <c r="D209" s="258" t="str">
        <f>B195</f>
        <v>WILDERT 2</v>
      </c>
      <c r="E209" s="40">
        <f>SUM(E196:E207)</f>
        <v>58.744</v>
      </c>
      <c r="F209" s="40">
        <f t="shared" ref="F209:AD209" si="146">IF(F208=(" "),(" "),E209+F208)</f>
        <v>122.47499999999999</v>
      </c>
      <c r="G209" s="40">
        <f t="shared" si="146"/>
        <v>187.45</v>
      </c>
      <c r="H209" s="40">
        <f t="shared" si="146"/>
        <v>244.30399999999997</v>
      </c>
      <c r="I209" s="40">
        <f t="shared" si="146"/>
        <v>318.04300000000001</v>
      </c>
      <c r="J209" s="40">
        <f t="shared" si="146"/>
        <v>403.60199999999998</v>
      </c>
      <c r="K209" s="40">
        <f t="shared" si="146"/>
        <v>458.04300000000001</v>
      </c>
      <c r="L209" s="40">
        <f t="shared" si="146"/>
        <v>515.93000000000006</v>
      </c>
      <c r="M209" s="40">
        <f t="shared" si="146"/>
        <v>589.4860000000001</v>
      </c>
      <c r="N209" s="40">
        <f t="shared" si="146"/>
        <v>638.06900000000007</v>
      </c>
      <c r="O209" s="40">
        <f t="shared" si="146"/>
        <v>707.29800000000012</v>
      </c>
      <c r="P209" s="40">
        <f t="shared" si="146"/>
        <v>782.70000000000016</v>
      </c>
      <c r="Q209" s="40">
        <f t="shared" si="146"/>
        <v>864.90600000000018</v>
      </c>
      <c r="R209" s="40">
        <f t="shared" si="146"/>
        <v>915.41300000000024</v>
      </c>
      <c r="S209" s="40" t="str">
        <f t="shared" si="146"/>
        <v xml:space="preserve"> </v>
      </c>
      <c r="T209" s="40" t="str">
        <f t="shared" si="146"/>
        <v xml:space="preserve"> </v>
      </c>
      <c r="U209" s="40" t="str">
        <f t="shared" si="146"/>
        <v xml:space="preserve"> </v>
      </c>
      <c r="V209" s="40" t="str">
        <f t="shared" si="146"/>
        <v xml:space="preserve"> </v>
      </c>
      <c r="W209" s="40" t="str">
        <f t="shared" si="146"/>
        <v xml:space="preserve"> </v>
      </c>
      <c r="X209" s="40" t="str">
        <f t="shared" si="146"/>
        <v xml:space="preserve"> </v>
      </c>
      <c r="Y209" s="40" t="str">
        <f t="shared" si="146"/>
        <v xml:space="preserve"> </v>
      </c>
      <c r="Z209" s="40" t="str">
        <f t="shared" si="146"/>
        <v xml:space="preserve"> </v>
      </c>
      <c r="AA209" s="40" t="str">
        <f t="shared" si="146"/>
        <v xml:space="preserve"> </v>
      </c>
      <c r="AB209" s="40" t="str">
        <f t="shared" si="146"/>
        <v xml:space="preserve"> </v>
      </c>
      <c r="AC209" s="40" t="str">
        <f t="shared" si="146"/>
        <v xml:space="preserve"> </v>
      </c>
      <c r="AD209" s="40" t="str">
        <f t="shared" si="146"/>
        <v xml:space="preserve"> </v>
      </c>
      <c r="AE209" s="40"/>
    </row>
    <row r="210" spans="1:31" ht="25.2" customHeight="1" x14ac:dyDescent="0.3"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</row>
    <row r="211" spans="1:31" ht="15" customHeight="1" x14ac:dyDescent="0.3">
      <c r="B211" s="31" t="s">
        <v>295</v>
      </c>
      <c r="E211" s="27">
        <v>1</v>
      </c>
      <c r="F211" s="27">
        <v>2</v>
      </c>
      <c r="G211" s="27">
        <v>3</v>
      </c>
      <c r="H211" s="27">
        <v>4</v>
      </c>
      <c r="I211" s="27">
        <v>5</v>
      </c>
      <c r="J211" s="27">
        <v>6</v>
      </c>
      <c r="K211" s="27">
        <v>7</v>
      </c>
      <c r="L211" s="27">
        <v>8</v>
      </c>
      <c r="M211" s="27">
        <v>9</v>
      </c>
      <c r="N211" s="27">
        <v>10</v>
      </c>
      <c r="O211" s="27">
        <v>11</v>
      </c>
      <c r="P211" s="27">
        <v>12</v>
      </c>
      <c r="Q211" s="27">
        <v>13</v>
      </c>
      <c r="R211" s="27">
        <v>14</v>
      </c>
      <c r="S211" s="27">
        <v>15</v>
      </c>
      <c r="T211" s="27">
        <v>16</v>
      </c>
      <c r="U211" s="27">
        <v>17</v>
      </c>
      <c r="V211" s="27">
        <v>18</v>
      </c>
      <c r="W211" s="27">
        <v>19</v>
      </c>
      <c r="X211" s="27">
        <v>20</v>
      </c>
      <c r="Y211" s="27">
        <v>21</v>
      </c>
      <c r="Z211" s="27">
        <v>22</v>
      </c>
      <c r="AA211" s="27">
        <v>23</v>
      </c>
      <c r="AB211" s="27">
        <v>24</v>
      </c>
      <c r="AC211" s="27">
        <v>25</v>
      </c>
      <c r="AD211" s="27">
        <v>26</v>
      </c>
      <c r="AE211" s="36"/>
    </row>
    <row r="212" spans="1:31" ht="15" customHeight="1" x14ac:dyDescent="0.3">
      <c r="A212" s="27">
        <f t="shared" ref="A212:A222" si="147">IF(SUM(E212:AD212)=0,(" "),COUNTIF(E212:AD212,"&gt;0"))</f>
        <v>7</v>
      </c>
      <c r="B212" s="28" t="str">
        <f>DeBeek!A4</f>
        <v xml:space="preserve">Bergmans Armand </v>
      </c>
      <c r="C212" s="32">
        <f>IF(DeBeek!AL4=0," ",SUM(E212:AD212))</f>
        <v>69.31</v>
      </c>
      <c r="E212" s="36">
        <f>IF(DeBeek!C4=(""),(""),ROUND(DeBeek!C4/DeBeek!$B4*10,3))</f>
        <v>7.2409999999999997</v>
      </c>
      <c r="F212" s="36" t="str">
        <f>IF(DeBeek!D4=(""),(""),ROUND(DeBeek!D4/DeBeek!$B4*10,3))</f>
        <v/>
      </c>
      <c r="G212" s="36">
        <f>IF(DeBeek!E4=(""),(""),ROUND(DeBeek!E4/DeBeek!$B4*10,3))</f>
        <v>8.2759999999999998</v>
      </c>
      <c r="H212" s="36" t="str">
        <f>IF(DeBeek!F4=(""),(""),ROUND(DeBeek!F4/DeBeek!$B4*10,3))</f>
        <v/>
      </c>
      <c r="I212" s="36" t="str">
        <f>IF(DeBeek!G4=(""),(""),ROUND(DeBeek!G4/DeBeek!$B4*10,3))</f>
        <v/>
      </c>
      <c r="J212" s="36">
        <f>IF(DeBeek!H4=(""),(""),ROUND(DeBeek!H4/DeBeek!$B4*10,3))</f>
        <v>10.69</v>
      </c>
      <c r="K212" s="36">
        <f>IF(DeBeek!I4=(""),(""),ROUND(DeBeek!I4/DeBeek!$B4*10,3))</f>
        <v>10</v>
      </c>
      <c r="L212" s="36">
        <f>IF(DeBeek!J4=(""),(""),ROUND(DeBeek!J4/DeBeek!$B4*10,3))</f>
        <v>9.31</v>
      </c>
      <c r="M212" s="36">
        <f>IF(DeBeek!K4=(""),(""),ROUND(DeBeek!K4/DeBeek!$B4*10,3))</f>
        <v>12.759</v>
      </c>
      <c r="N212" s="36" t="str">
        <f>IF(DeBeek!L4=(""),(""),ROUND(DeBeek!L4/DeBeek!$B4*10,3))</f>
        <v/>
      </c>
      <c r="O212" s="36">
        <f>IF(DeBeek!M4=(""),(""),ROUND(DeBeek!M4/DeBeek!$B4*10,3))</f>
        <v>11.034000000000001</v>
      </c>
      <c r="P212" s="36" t="str">
        <f>IF(DeBeek!N4=(""),(""),ROUND(DeBeek!N4/DeBeek!$B4*10,3))</f>
        <v/>
      </c>
      <c r="Q212" s="36" t="str">
        <f>IF(DeBeek!O4=(""),(""),ROUND(DeBeek!O4/DeBeek!$B4*10,3))</f>
        <v/>
      </c>
      <c r="R212" s="36" t="str">
        <f>IF(DeBeek!U4=(""),(""),ROUND(DeBeek!U4/DeBeek!$T4*10,3))</f>
        <v/>
      </c>
      <c r="S212" s="36" t="str">
        <f>IF(DeBeek!V4=(""),(""),ROUND(DeBeek!V4/DeBeek!$T4*10,3))</f>
        <v/>
      </c>
      <c r="T212" s="36" t="str">
        <f>IF(DeBeek!W4=(""),(""),ROUND(DeBeek!W4/DeBeek!$T4*10,3))</f>
        <v/>
      </c>
      <c r="U212" s="36" t="str">
        <f>IF(DeBeek!X4=(""),(""),ROUND(DeBeek!X4/DeBeek!$T4*10,3))</f>
        <v/>
      </c>
      <c r="V212" s="36" t="str">
        <f>IF(DeBeek!Y4=(""),(""),ROUND(DeBeek!Y4/DeBeek!$T4*10,3))</f>
        <v/>
      </c>
      <c r="W212" s="36" t="str">
        <f>IF(DeBeek!Z4=(""),(""),ROUND(DeBeek!Z4/DeBeek!$T4*10,3))</f>
        <v/>
      </c>
      <c r="X212" s="36" t="str">
        <f>IF(DeBeek!AA4=(""),(""),ROUND(DeBeek!AA4/DeBeek!$T4*10,3))</f>
        <v/>
      </c>
      <c r="Y212" s="36" t="str">
        <f>IF(DeBeek!AB4=(""),(""),ROUND(DeBeek!AB4/DeBeek!$T4*10,3))</f>
        <v/>
      </c>
      <c r="Z212" s="36" t="str">
        <f>IF(DeBeek!AC4=(""),(""),ROUND(DeBeek!AC4/DeBeek!$T4*10,3))</f>
        <v/>
      </c>
      <c r="AA212" s="36" t="str">
        <f>IF(DeBeek!AD4=(""),(""),ROUND(DeBeek!AD4/DeBeek!$T4*10,3))</f>
        <v/>
      </c>
      <c r="AB212" s="36" t="str">
        <f>IF(DeBeek!AE4=(""),(""),ROUND(DeBeek!AE4/DeBeek!$T4*10,3))</f>
        <v/>
      </c>
      <c r="AC212" s="36" t="str">
        <f>IF(DeBeek!AF4=(""),(""),ROUND(DeBeek!AF4/DeBeek!$T4*10,3))</f>
        <v/>
      </c>
      <c r="AD212" s="36" t="str">
        <f>IF(DeBeek!AG4=(""),(""),ROUND(DeBeek!AG4/DeBeek!$T4*10,3))</f>
        <v/>
      </c>
      <c r="AE212" s="36"/>
    </row>
    <row r="213" spans="1:31" ht="15" customHeight="1" x14ac:dyDescent="0.3">
      <c r="A213" s="27">
        <f t="shared" si="147"/>
        <v>7</v>
      </c>
      <c r="B213" s="80" t="str">
        <f>DeBeek!A5</f>
        <v>Beyers Armand</v>
      </c>
      <c r="C213" s="32">
        <f>IF(DeBeek!AL5=0," ",SUM(E213:AD213))</f>
        <v>85.278000000000006</v>
      </c>
      <c r="E213" s="36">
        <f>IF(DeBeek!C5=(""),(""),ROUND(DeBeek!C5/DeBeek!$B5*10,3))</f>
        <v>9.1669999999999998</v>
      </c>
      <c r="F213" s="36" t="str">
        <f>IF(DeBeek!D5=(""),(""),ROUND(DeBeek!D5/DeBeek!$B5*10,3))</f>
        <v/>
      </c>
      <c r="G213" s="36">
        <f>IF(DeBeek!E5=(""),(""),ROUND(DeBeek!E5/DeBeek!$B5*10,3))</f>
        <v>13.055999999999999</v>
      </c>
      <c r="H213" s="36">
        <f>IF(DeBeek!F5=(""),(""),ROUND(DeBeek!F5/DeBeek!$B5*10,3))</f>
        <v>14.722</v>
      </c>
      <c r="I213" s="36" t="str">
        <f>IF(DeBeek!G5=(""),(""),ROUND(DeBeek!G5/DeBeek!$B5*10,3))</f>
        <v/>
      </c>
      <c r="J213" s="36">
        <f>IF(DeBeek!H5=(""),(""),ROUND(DeBeek!H5/DeBeek!$B5*10,3))</f>
        <v>14.444000000000001</v>
      </c>
      <c r="K213" s="36" t="str">
        <f>IF(DeBeek!I5=(""),(""),ROUND(DeBeek!I5/DeBeek!$B5*10,3))</f>
        <v/>
      </c>
      <c r="L213" s="36" t="str">
        <f>IF(DeBeek!J5=(""),(""),ROUND(DeBeek!J5/DeBeek!$B5*10,3))</f>
        <v/>
      </c>
      <c r="M213" s="36" t="str">
        <f>IF(DeBeek!K5=(""),(""),ROUND(DeBeek!K5/DeBeek!$B5*10,3))</f>
        <v/>
      </c>
      <c r="N213" s="36" t="str">
        <f>IF(DeBeek!L5=(""),(""),ROUND(DeBeek!L5/DeBeek!$B5*10,3))</f>
        <v/>
      </c>
      <c r="O213" s="36">
        <f>IF(DeBeek!M5=(""),(""),ROUND(DeBeek!M5/DeBeek!$B5*10,3))</f>
        <v>8.6110000000000007</v>
      </c>
      <c r="P213" s="36">
        <f>IF(DeBeek!N5=(""),(""),ROUND(DeBeek!N5/DeBeek!$B5*10,3))</f>
        <v>15</v>
      </c>
      <c r="Q213" s="36">
        <f>IF(DeBeek!O5=(""),(""),ROUND(DeBeek!O5/DeBeek!$B5*10,3))</f>
        <v>10.278</v>
      </c>
      <c r="R213" s="36" t="str">
        <f>IF(DeBeek!U5=(""),(""),ROUND(DeBeek!U5/DeBeek!$T5*10,3))</f>
        <v/>
      </c>
      <c r="S213" s="36" t="str">
        <f>IF(DeBeek!V5=(""),(""),ROUND(DeBeek!V5/DeBeek!$T5*10,3))</f>
        <v/>
      </c>
      <c r="T213" s="36" t="str">
        <f>IF(DeBeek!W5=(""),(""),ROUND(DeBeek!W5/DeBeek!$T5*10,3))</f>
        <v/>
      </c>
      <c r="U213" s="36" t="str">
        <f>IF(DeBeek!X5=(""),(""),ROUND(DeBeek!X5/DeBeek!$T5*10,3))</f>
        <v/>
      </c>
      <c r="V213" s="36" t="str">
        <f>IF(DeBeek!Y5=(""),(""),ROUND(DeBeek!Y5/DeBeek!$T5*10,3))</f>
        <v/>
      </c>
      <c r="W213" s="36" t="str">
        <f>IF(DeBeek!Z5=(""),(""),ROUND(DeBeek!Z5/DeBeek!$T5*10,3))</f>
        <v/>
      </c>
      <c r="X213" s="36" t="str">
        <f>IF(DeBeek!AA5=(""),(""),ROUND(DeBeek!AA5/DeBeek!$T5*10,3))</f>
        <v/>
      </c>
      <c r="Y213" s="36" t="str">
        <f>IF(DeBeek!AB5=(""),(""),ROUND(DeBeek!AB5/DeBeek!$T5*10,3))</f>
        <v/>
      </c>
      <c r="Z213" s="36" t="str">
        <f>IF(DeBeek!AC5=(""),(""),ROUND(DeBeek!AC5/DeBeek!$T5*10,3))</f>
        <v/>
      </c>
      <c r="AA213" s="36" t="str">
        <f>IF(DeBeek!AD5=(""),(""),ROUND(DeBeek!AD5/DeBeek!$T5*10,3))</f>
        <v/>
      </c>
      <c r="AB213" s="36" t="str">
        <f>IF(DeBeek!AE5=(""),(""),ROUND(DeBeek!AE5/DeBeek!$T5*10,3))</f>
        <v/>
      </c>
      <c r="AC213" s="36" t="str">
        <f>IF(DeBeek!AF5=(""),(""),ROUND(DeBeek!AF5/DeBeek!$T5*10,3))</f>
        <v/>
      </c>
      <c r="AD213" s="36" t="str">
        <f>IF(DeBeek!AG5=(""),(""),ROUND(DeBeek!AG5/DeBeek!$T5*10,3))</f>
        <v/>
      </c>
      <c r="AE213" s="36"/>
    </row>
    <row r="214" spans="1:31" ht="15" customHeight="1" x14ac:dyDescent="0.3">
      <c r="A214" s="27">
        <f t="shared" si="147"/>
        <v>10</v>
      </c>
      <c r="B214" s="81" t="str">
        <f>DeBeek!A6</f>
        <v xml:space="preserve">Beyers Roger </v>
      </c>
      <c r="C214" s="32">
        <f>IF(DeBeek!AL6=0," ",SUM(E214:AD214))</f>
        <v>91.086999999999989</v>
      </c>
      <c r="E214" s="36" t="str">
        <f>IF(DeBeek!C6=(""),(""),ROUND(DeBeek!C6/DeBeek!$B6*10,3))</f>
        <v/>
      </c>
      <c r="F214" s="36">
        <f>IF(DeBeek!D6=(""),(""),ROUND(DeBeek!D6/DeBeek!$B6*10,3))</f>
        <v>6.7389999999999999</v>
      </c>
      <c r="G214" s="36" t="str">
        <f>IF(DeBeek!E6=(""),(""),ROUND(DeBeek!E6/DeBeek!$B6*10,3))</f>
        <v/>
      </c>
      <c r="H214" s="36">
        <f>IF(DeBeek!F6=(""),(""),ROUND(DeBeek!F6/DeBeek!$B6*10,3))</f>
        <v>7.8259999999999996</v>
      </c>
      <c r="I214" s="36" t="str">
        <f>IF(DeBeek!G6=(""),(""),ROUND(DeBeek!G6/DeBeek!$B6*10,3))</f>
        <v/>
      </c>
      <c r="J214" s="36">
        <f>IF(DeBeek!H6=(""),(""),ROUND(DeBeek!H6/DeBeek!$B6*10,3))</f>
        <v>6.9569999999999999</v>
      </c>
      <c r="K214" s="36">
        <f>IF(DeBeek!I6=(""),(""),ROUND(DeBeek!I6/DeBeek!$B6*10,3))</f>
        <v>10.651999999999999</v>
      </c>
      <c r="L214" s="36">
        <f>IF(DeBeek!J6=(""),(""),ROUND(DeBeek!J6/DeBeek!$B6*10,3))</f>
        <v>11.087</v>
      </c>
      <c r="M214" s="36">
        <f>IF(DeBeek!K6=(""),(""),ROUND(DeBeek!K6/DeBeek!$B6*10,3))</f>
        <v>6.7389999999999999</v>
      </c>
      <c r="N214" s="36">
        <f>IF(DeBeek!L6=(""),(""),ROUND(DeBeek!L6/DeBeek!$B6*10,3))</f>
        <v>7.609</v>
      </c>
      <c r="O214" s="36">
        <f>IF(DeBeek!M6=(""),(""),ROUND(DeBeek!M6/DeBeek!$B6*10,3))</f>
        <v>11.304</v>
      </c>
      <c r="P214" s="36" t="str">
        <f>IF(DeBeek!N6=(""),(""),ROUND(DeBeek!N6/DeBeek!$B6*10,3))</f>
        <v/>
      </c>
      <c r="Q214" s="36">
        <f>IF(DeBeek!O6=(""),(""),ROUND(DeBeek!O6/DeBeek!$B6*10,3))</f>
        <v>12.609</v>
      </c>
      <c r="R214" s="36">
        <f>IF(DeBeek!U6=(""),(""),ROUND(DeBeek!U6/DeBeek!$T6*10,3))</f>
        <v>9.5649999999999995</v>
      </c>
      <c r="S214" s="36" t="str">
        <f>IF(DeBeek!V6=(""),(""),ROUND(DeBeek!V6/DeBeek!$T6*10,3))</f>
        <v/>
      </c>
      <c r="T214" s="36" t="str">
        <f>IF(DeBeek!W6=(""),(""),ROUND(DeBeek!W6/DeBeek!$T6*10,3))</f>
        <v/>
      </c>
      <c r="U214" s="36" t="str">
        <f>IF(DeBeek!X6=(""),(""),ROUND(DeBeek!X6/DeBeek!$T6*10,3))</f>
        <v/>
      </c>
      <c r="V214" s="36" t="str">
        <f>IF(DeBeek!Y6=(""),(""),ROUND(DeBeek!Y6/DeBeek!$T6*10,3))</f>
        <v/>
      </c>
      <c r="W214" s="36" t="str">
        <f>IF(DeBeek!Z6=(""),(""),ROUND(DeBeek!Z6/DeBeek!$T6*10,3))</f>
        <v/>
      </c>
      <c r="X214" s="36" t="str">
        <f>IF(DeBeek!AA6=(""),(""),ROUND(DeBeek!AA6/DeBeek!$T6*10,3))</f>
        <v/>
      </c>
      <c r="Y214" s="36" t="str">
        <f>IF(DeBeek!AB6=(""),(""),ROUND(DeBeek!AB6/DeBeek!$T6*10,3))</f>
        <v/>
      </c>
      <c r="Z214" s="36" t="str">
        <f>IF(DeBeek!AC6=(""),(""),ROUND(DeBeek!AC6/DeBeek!$T6*10,3))</f>
        <v/>
      </c>
      <c r="AA214" s="36" t="str">
        <f>IF(DeBeek!AD6=(""),(""),ROUND(DeBeek!AD6/DeBeek!$T6*10,3))</f>
        <v/>
      </c>
      <c r="AB214" s="36" t="str">
        <f>IF(DeBeek!AE6=(""),(""),ROUND(DeBeek!AE6/DeBeek!$T6*10,3))</f>
        <v/>
      </c>
      <c r="AC214" s="36" t="str">
        <f>IF(DeBeek!AF6=(""),(""),ROUND(DeBeek!AF6/DeBeek!$T6*10,3))</f>
        <v/>
      </c>
      <c r="AD214" s="36" t="str">
        <f>IF(DeBeek!AG6=(""),(""),ROUND(DeBeek!AG6/DeBeek!$T6*10,3))</f>
        <v/>
      </c>
      <c r="AE214" s="36"/>
    </row>
    <row r="215" spans="1:31" ht="15" customHeight="1" x14ac:dyDescent="0.3">
      <c r="A215" s="27">
        <f t="shared" si="147"/>
        <v>7</v>
      </c>
      <c r="B215" s="28" t="str">
        <f>DeBeek!A7</f>
        <v xml:space="preserve">Binnemans Rene </v>
      </c>
      <c r="C215" s="32">
        <f>IF(DeBeek!AL7=0," ",SUM(E215:AD215))</f>
        <v>76.06</v>
      </c>
      <c r="E215" s="36">
        <f>IF(DeBeek!C7=(""),(""),ROUND(DeBeek!C7/DeBeek!$B7*10,3))</f>
        <v>8.7880000000000003</v>
      </c>
      <c r="F215" s="36" t="str">
        <f>IF(DeBeek!D7=(""),(""),ROUND(DeBeek!D7/DeBeek!$B7*10,3))</f>
        <v/>
      </c>
      <c r="G215" s="36" t="str">
        <f>IF(DeBeek!E7=(""),(""),ROUND(DeBeek!E7/DeBeek!$B7*10,3))</f>
        <v/>
      </c>
      <c r="H215" s="36">
        <f>IF(DeBeek!F7=(""),(""),ROUND(DeBeek!F7/DeBeek!$B7*10,3))</f>
        <v>11.212</v>
      </c>
      <c r="I215" s="36">
        <f>IF(DeBeek!G7=(""),(""),ROUND(DeBeek!G7/DeBeek!$B7*10,3))</f>
        <v>10.606</v>
      </c>
      <c r="J215" s="36" t="str">
        <f>IF(DeBeek!H7=(""),(""),ROUND(DeBeek!H7/DeBeek!$B7*10,3))</f>
        <v/>
      </c>
      <c r="K215" s="36" t="str">
        <f>IF(DeBeek!I7=(""),(""),ROUND(DeBeek!I7/DeBeek!$B7*10,3))</f>
        <v/>
      </c>
      <c r="L215" s="36" t="str">
        <f>IF(DeBeek!J7=(""),(""),ROUND(DeBeek!J7/DeBeek!$B7*10,3))</f>
        <v/>
      </c>
      <c r="M215" s="36">
        <f>IF(DeBeek!K7=(""),(""),ROUND(DeBeek!K7/DeBeek!$B7*10,3))</f>
        <v>7.8789999999999996</v>
      </c>
      <c r="N215" s="36">
        <f>IF(DeBeek!L7=(""),(""),ROUND(DeBeek!L7/DeBeek!$B7*10,3))</f>
        <v>10.606</v>
      </c>
      <c r="O215" s="36" t="str">
        <f>IF(DeBeek!M7=(""),(""),ROUND(DeBeek!M7/DeBeek!$B7*10,3))</f>
        <v/>
      </c>
      <c r="P215" s="36">
        <f>IF(DeBeek!N7=(""),(""),ROUND(DeBeek!N7/DeBeek!$B7*10,3))</f>
        <v>13.333</v>
      </c>
      <c r="Q215" s="36">
        <f>IF(DeBeek!O7=(""),(""),ROUND(DeBeek!O7/DeBeek!$B7*10,3))</f>
        <v>13.635999999999999</v>
      </c>
      <c r="R215" s="36" t="str">
        <f>IF(DeBeek!U7=(""),(""),ROUND(DeBeek!U7/DeBeek!$T7*10,3))</f>
        <v/>
      </c>
      <c r="S215" s="36" t="str">
        <f>IF(DeBeek!V7=(""),(""),ROUND(DeBeek!V7/DeBeek!$T7*10,3))</f>
        <v/>
      </c>
      <c r="T215" s="36" t="str">
        <f>IF(DeBeek!W7=(""),(""),ROUND(DeBeek!W7/DeBeek!$T7*10,3))</f>
        <v/>
      </c>
      <c r="U215" s="36" t="str">
        <f>IF(DeBeek!X7=(""),(""),ROUND(DeBeek!X7/DeBeek!$T7*10,3))</f>
        <v/>
      </c>
      <c r="V215" s="36" t="str">
        <f>IF(DeBeek!Y7=(""),(""),ROUND(DeBeek!Y7/DeBeek!$T7*10,3))</f>
        <v/>
      </c>
      <c r="W215" s="36" t="str">
        <f>IF(DeBeek!Z7=(""),(""),ROUND(DeBeek!Z7/DeBeek!$T7*10,3))</f>
        <v/>
      </c>
      <c r="X215" s="36" t="str">
        <f>IF(DeBeek!AA7=(""),(""),ROUND(DeBeek!AA7/DeBeek!$T7*10,3))</f>
        <v/>
      </c>
      <c r="Y215" s="36" t="str">
        <f>IF(DeBeek!AB7=(""),(""),ROUND(DeBeek!AB7/DeBeek!$T7*10,3))</f>
        <v/>
      </c>
      <c r="Z215" s="36" t="str">
        <f>IF(DeBeek!AC7=(""),(""),ROUND(DeBeek!AC7/DeBeek!$T7*10,3))</f>
        <v/>
      </c>
      <c r="AA215" s="36" t="str">
        <f>IF(DeBeek!AD7=(""),(""),ROUND(DeBeek!AD7/DeBeek!$T7*10,3))</f>
        <v/>
      </c>
      <c r="AB215" s="36" t="str">
        <f>IF(DeBeek!AE7=(""),(""),ROUND(DeBeek!AE7/DeBeek!$T7*10,3))</f>
        <v/>
      </c>
      <c r="AC215" s="36" t="str">
        <f>IF(DeBeek!AF7=(""),(""),ROUND(DeBeek!AF7/DeBeek!$T7*10,3))</f>
        <v/>
      </c>
      <c r="AD215" s="36" t="str">
        <f>IF(DeBeek!AG7=(""),(""),ROUND(DeBeek!AG7/DeBeek!$T7*10,3))</f>
        <v/>
      </c>
      <c r="AE215" s="36"/>
    </row>
    <row r="216" spans="1:31" ht="15" customHeight="1" x14ac:dyDescent="0.3">
      <c r="A216" s="27">
        <f t="shared" si="147"/>
        <v>9</v>
      </c>
      <c r="B216" s="81" t="str">
        <f>DeBeek!A8</f>
        <v>De Crom Ludo</v>
      </c>
      <c r="C216" s="32">
        <f>IF(DeBeek!AL8=0," ",SUM(E216:AD216))</f>
        <v>70.001000000000005</v>
      </c>
      <c r="E216" s="36" t="str">
        <f>IF(DeBeek!C8=(""),(""),ROUND(DeBeek!C8/DeBeek!$B8*10,3))</f>
        <v/>
      </c>
      <c r="F216" s="36">
        <f>IF(DeBeek!D8=(""),(""),ROUND(DeBeek!D8/DeBeek!$B8*10,3))</f>
        <v>11.25</v>
      </c>
      <c r="G216" s="36">
        <f>IF(DeBeek!E8=(""),(""),ROUND(DeBeek!E8/DeBeek!$B8*10,3))</f>
        <v>5.4169999999999998</v>
      </c>
      <c r="H216" s="36" t="str">
        <f>IF(DeBeek!F8=(""),(""),ROUND(DeBeek!F8/DeBeek!$B8*10,3))</f>
        <v/>
      </c>
      <c r="I216" s="36">
        <f>IF(DeBeek!G8=(""),(""),ROUND(DeBeek!G8/DeBeek!$B8*10,3))</f>
        <v>10</v>
      </c>
      <c r="J216" s="36">
        <f>IF(DeBeek!H8=(""),(""),ROUND(DeBeek!H8/DeBeek!$B8*10,3))</f>
        <v>7.9169999999999998</v>
      </c>
      <c r="K216" s="36" t="str">
        <f>IF(DeBeek!I8=(""),(""),ROUND(DeBeek!I8/DeBeek!$B8*10,3))</f>
        <v/>
      </c>
      <c r="L216" s="36">
        <f>IF(DeBeek!J8=(""),(""),ROUND(DeBeek!J8/DeBeek!$B8*10,3))</f>
        <v>4.1669999999999998</v>
      </c>
      <c r="M216" s="36">
        <f>IF(DeBeek!K8=(""),(""),ROUND(DeBeek!K8/DeBeek!$B8*10,3))</f>
        <v>2.5</v>
      </c>
      <c r="N216" s="36">
        <f>IF(DeBeek!L8=(""),(""),ROUND(DeBeek!L8/DeBeek!$B8*10,3))</f>
        <v>5</v>
      </c>
      <c r="O216" s="36">
        <f>IF(DeBeek!M8=(""),(""),ROUND(DeBeek!M8/DeBeek!$B8*10,3))</f>
        <v>17.082999999999998</v>
      </c>
      <c r="P216" s="36" t="str">
        <f>IF(DeBeek!N8=(""),(""),ROUND(DeBeek!N8/DeBeek!$B8*10,3))</f>
        <v/>
      </c>
      <c r="Q216" s="36">
        <f>IF(DeBeek!O8=(""),(""),ROUND(DeBeek!O8/DeBeek!$B8*10,3))</f>
        <v>6.6669999999999998</v>
      </c>
      <c r="R216" s="36" t="str">
        <f>IF(DeBeek!U8=(""),(""),ROUND(DeBeek!U8/DeBeek!$T8*10,3))</f>
        <v/>
      </c>
      <c r="S216" s="36" t="str">
        <f>IF(DeBeek!V8=(""),(""),ROUND(DeBeek!V8/DeBeek!$T8*10,3))</f>
        <v/>
      </c>
      <c r="T216" s="36" t="str">
        <f>IF(DeBeek!W8=(""),(""),ROUND(DeBeek!W8/DeBeek!$T8*10,3))</f>
        <v/>
      </c>
      <c r="U216" s="36" t="str">
        <f>IF(DeBeek!X8=(""),(""),ROUND(DeBeek!X8/DeBeek!$T8*10,3))</f>
        <v/>
      </c>
      <c r="V216" s="36" t="str">
        <f>IF(DeBeek!Y8=(""),(""),ROUND(DeBeek!Y8/DeBeek!$T8*10,3))</f>
        <v/>
      </c>
      <c r="W216" s="36" t="str">
        <f>IF(DeBeek!Z8=(""),(""),ROUND(DeBeek!Z8/DeBeek!$T8*10,3))</f>
        <v/>
      </c>
      <c r="X216" s="36" t="str">
        <f>IF(DeBeek!AA8=(""),(""),ROUND(DeBeek!AA8/DeBeek!$T8*10,3))</f>
        <v/>
      </c>
      <c r="Y216" s="36" t="str">
        <f>IF(DeBeek!AB8=(""),(""),ROUND(DeBeek!AB8/DeBeek!$T8*10,3))</f>
        <v/>
      </c>
      <c r="Z216" s="36" t="str">
        <f>IF(DeBeek!AC8=(""),(""),ROUND(DeBeek!AC8/DeBeek!$T8*10,3))</f>
        <v/>
      </c>
      <c r="AA216" s="36" t="str">
        <f>IF(DeBeek!AD8=(""),(""),ROUND(DeBeek!AD8/DeBeek!$T8*10,3))</f>
        <v/>
      </c>
      <c r="AB216" s="36" t="str">
        <f>IF(DeBeek!AE8=(""),(""),ROUND(DeBeek!AE8/DeBeek!$T8*10,3))</f>
        <v/>
      </c>
      <c r="AC216" s="36" t="str">
        <f>IF(DeBeek!AF8=(""),(""),ROUND(DeBeek!AF8/DeBeek!$T8*10,3))</f>
        <v/>
      </c>
      <c r="AD216" s="36" t="str">
        <f>IF(DeBeek!AG8=(""),(""),ROUND(DeBeek!AG8/DeBeek!$T8*10,3))</f>
        <v/>
      </c>
      <c r="AE216" s="36"/>
    </row>
    <row r="217" spans="1:31" ht="15" customHeight="1" x14ac:dyDescent="0.3">
      <c r="A217" s="27">
        <f t="shared" si="147"/>
        <v>9</v>
      </c>
      <c r="B217" s="176" t="str">
        <f>DeBeek!A9</f>
        <v>Geysen Louis</v>
      </c>
      <c r="C217" s="32">
        <f>IF(DeBeek!AL9=0," ",SUM(E217:AD217))</f>
        <v>85.219000000000008</v>
      </c>
      <c r="E217" s="36">
        <f>IF(DeBeek!C9=(""),(""),ROUND(DeBeek!C9/DeBeek!$B9*10,3))</f>
        <v>8.2609999999999992</v>
      </c>
      <c r="F217" s="36" t="str">
        <f>IF(DeBeek!D9=(""),(""),ROUND(DeBeek!D9/DeBeek!$B9*10,3))</f>
        <v/>
      </c>
      <c r="G217" s="36">
        <f>IF(DeBeek!E9=(""),(""),ROUND(DeBeek!E9/DeBeek!$B9*10,3))</f>
        <v>10.435</v>
      </c>
      <c r="H217" s="36">
        <f>IF(DeBeek!F9=(""),(""),ROUND(DeBeek!F9/DeBeek!$B9*10,3))</f>
        <v>12.173999999999999</v>
      </c>
      <c r="I217" s="36">
        <f>IF(DeBeek!G9=(""),(""),ROUND(DeBeek!G9/DeBeek!$B9*10,3))</f>
        <v>6.5220000000000002</v>
      </c>
      <c r="J217" s="36">
        <f>IF(DeBeek!H9=(""),(""),ROUND(DeBeek!H9/DeBeek!$B9*10,3))</f>
        <v>7.8259999999999996</v>
      </c>
      <c r="K217" s="36">
        <f>IF(DeBeek!I9=(""),(""),ROUND(DeBeek!I9/DeBeek!$B9*10,3))</f>
        <v>12.609</v>
      </c>
      <c r="L217" s="36" t="str">
        <f>IF(DeBeek!J9=(""),(""),ROUND(DeBeek!J9/DeBeek!$B9*10,3))</f>
        <v/>
      </c>
      <c r="M217" s="36" t="str">
        <f>IF(DeBeek!K9=(""),(""),ROUND(DeBeek!K9/DeBeek!$B9*10,3))</f>
        <v/>
      </c>
      <c r="N217" s="36">
        <f>IF(DeBeek!L9=(""),(""),ROUND(DeBeek!L9/DeBeek!$B9*10,3))</f>
        <v>6.5220000000000002</v>
      </c>
      <c r="O217" s="36" t="str">
        <f>IF(DeBeek!M9=(""),(""),ROUND(DeBeek!M9/DeBeek!$B9*10,3))</f>
        <v/>
      </c>
      <c r="P217" s="36">
        <f>IF(DeBeek!N9=(""),(""),ROUND(DeBeek!N9/DeBeek!$B9*10,3))</f>
        <v>10</v>
      </c>
      <c r="Q217" s="36" t="str">
        <f>IF(DeBeek!O9=(""),(""),ROUND(DeBeek!O9/DeBeek!$B9*10,3))</f>
        <v/>
      </c>
      <c r="R217" s="36">
        <f>IF(DeBeek!U9=(""),(""),ROUND(DeBeek!U9/DeBeek!$T9*10,3))</f>
        <v>10.87</v>
      </c>
      <c r="S217" s="36" t="str">
        <f>IF(DeBeek!V9=(""),(""),ROUND(DeBeek!V9/DeBeek!$T9*10,3))</f>
        <v/>
      </c>
      <c r="T217" s="36" t="str">
        <f>IF(DeBeek!W9=(""),(""),ROUND(DeBeek!W9/DeBeek!$T9*10,3))</f>
        <v/>
      </c>
      <c r="U217" s="36" t="str">
        <f>IF(DeBeek!X9=(""),(""),ROUND(DeBeek!X9/DeBeek!$T9*10,3))</f>
        <v/>
      </c>
      <c r="V217" s="36" t="str">
        <f>IF(DeBeek!Y9=(""),(""),ROUND(DeBeek!Y9/DeBeek!$T9*10,3))</f>
        <v/>
      </c>
      <c r="W217" s="36" t="str">
        <f>IF(DeBeek!Z9=(""),(""),ROUND(DeBeek!Z9/DeBeek!$T9*10,3))</f>
        <v/>
      </c>
      <c r="X217" s="36" t="str">
        <f>IF(DeBeek!AA9=(""),(""),ROUND(DeBeek!AA9/DeBeek!$T9*10,3))</f>
        <v/>
      </c>
      <c r="Y217" s="36" t="str">
        <f>IF(DeBeek!AB9=(""),(""),ROUND(DeBeek!AB9/DeBeek!$T9*10,3))</f>
        <v/>
      </c>
      <c r="Z217" s="36" t="str">
        <f>IF(DeBeek!AC9=(""),(""),ROUND(DeBeek!AC9/DeBeek!$T9*10,3))</f>
        <v/>
      </c>
      <c r="AA217" s="36" t="str">
        <f>IF(DeBeek!AD9=(""),(""),ROUND(DeBeek!AD9/DeBeek!$T9*10,3))</f>
        <v/>
      </c>
      <c r="AB217" s="36" t="str">
        <f>IF(DeBeek!AE9=(""),(""),ROUND(DeBeek!AE9/DeBeek!$T9*10,3))</f>
        <v/>
      </c>
      <c r="AC217" s="36" t="str">
        <f>IF(DeBeek!AF9=(""),(""),ROUND(DeBeek!AF9/DeBeek!$T9*10,3))</f>
        <v/>
      </c>
      <c r="AD217" s="36" t="str">
        <f>IF(DeBeek!AG9=(""),(""),ROUND(DeBeek!AG9/DeBeek!$T9*10,3))</f>
        <v/>
      </c>
      <c r="AE217" s="36"/>
    </row>
    <row r="218" spans="1:31" ht="15" customHeight="1" x14ac:dyDescent="0.3">
      <c r="A218" s="27">
        <f t="shared" si="147"/>
        <v>9</v>
      </c>
      <c r="B218" s="81" t="str">
        <f>DeBeek!A10</f>
        <v xml:space="preserve">Heyndrickx Alfons   </v>
      </c>
      <c r="C218" s="32">
        <f>IF(DeBeek!AL10=0," ",SUM(E218:AD218))</f>
        <v>105</v>
      </c>
      <c r="E218" s="36">
        <f>IF(DeBeek!C10=(""),(""),ROUND(DeBeek!C10/DeBeek!$B10*10,3))</f>
        <v>9.2309999999999999</v>
      </c>
      <c r="F218" s="36">
        <f>IF(DeBeek!D10=(""),(""),ROUND(DeBeek!D10/DeBeek!$B10*10,3))</f>
        <v>9.2309999999999999</v>
      </c>
      <c r="G218" s="36" t="str">
        <f>IF(DeBeek!E10=(""),(""),ROUND(DeBeek!E10/DeBeek!$B10*10,3))</f>
        <v/>
      </c>
      <c r="H218" s="36">
        <f>IF(DeBeek!F10=(""),(""),ROUND(DeBeek!F10/DeBeek!$B10*10,3))</f>
        <v>13.077</v>
      </c>
      <c r="I218" s="36">
        <f>IF(DeBeek!G10=(""),(""),ROUND(DeBeek!G10/DeBeek!$B10*10,3))</f>
        <v>11.923</v>
      </c>
      <c r="J218" s="36" t="str">
        <f>IF(DeBeek!H10=(""),(""),ROUND(DeBeek!H10/DeBeek!$B10*10,3))</f>
        <v/>
      </c>
      <c r="K218" s="36">
        <f>IF(DeBeek!I10=(""),(""),ROUND(DeBeek!I10/DeBeek!$B10*10,3))</f>
        <v>11.923</v>
      </c>
      <c r="L218" s="36">
        <f>IF(DeBeek!J10=(""),(""),ROUND(DeBeek!J10/DeBeek!$B10*10,3))</f>
        <v>9.2309999999999999</v>
      </c>
      <c r="M218" s="36" t="str">
        <f>IF(DeBeek!K10=(""),(""),ROUND(DeBeek!K10/DeBeek!$B10*10,3))</f>
        <v/>
      </c>
      <c r="N218" s="36">
        <f>IF(DeBeek!L10=(""),(""),ROUND(DeBeek!L10/DeBeek!$B10*10,3))</f>
        <v>18.077000000000002</v>
      </c>
      <c r="O218" s="36" t="str">
        <f>IF(DeBeek!M10=(""),(""),ROUND(DeBeek!M10/DeBeek!$B10*10,3))</f>
        <v/>
      </c>
      <c r="P218" s="36">
        <f>IF(DeBeek!N10=(""),(""),ROUND(DeBeek!N10/DeBeek!$B10*10,3))</f>
        <v>11.538</v>
      </c>
      <c r="Q218" s="36" t="str">
        <f>IF(DeBeek!O10=(""),(""),ROUND(DeBeek!O10/DeBeek!$B10*10,3))</f>
        <v/>
      </c>
      <c r="R218" s="36">
        <f>IF(DeBeek!U10=(""),(""),ROUND(DeBeek!U10/DeBeek!$T10*10,3))</f>
        <v>10.769</v>
      </c>
      <c r="S218" s="36" t="str">
        <f>IF(DeBeek!V10=(""),(""),ROUND(DeBeek!V10/DeBeek!$T10*10,3))</f>
        <v/>
      </c>
      <c r="T218" s="36" t="str">
        <f>IF(DeBeek!W10=(""),(""),ROUND(DeBeek!W10/DeBeek!$T10*10,3))</f>
        <v/>
      </c>
      <c r="U218" s="36" t="str">
        <f>IF(DeBeek!X10=(""),(""),ROUND(DeBeek!X10/DeBeek!$T10*10,3))</f>
        <v/>
      </c>
      <c r="V218" s="36" t="str">
        <f>IF(DeBeek!Y10=(""),(""),ROUND(DeBeek!Y10/DeBeek!$T10*10,3))</f>
        <v/>
      </c>
      <c r="W218" s="36" t="str">
        <f>IF(DeBeek!Z10=(""),(""),ROUND(DeBeek!Z10/DeBeek!$T10*10,3))</f>
        <v/>
      </c>
      <c r="X218" s="36" t="str">
        <f>IF(DeBeek!AA10=(""),(""),ROUND(DeBeek!AA10/DeBeek!$T10*10,3))</f>
        <v/>
      </c>
      <c r="Y218" s="36" t="str">
        <f>IF(DeBeek!AB10=(""),(""),ROUND(DeBeek!AB10/DeBeek!$T10*10,3))</f>
        <v/>
      </c>
      <c r="Z218" s="36" t="str">
        <f>IF(DeBeek!AC10=(""),(""),ROUND(DeBeek!AC10/DeBeek!$T10*10,3))</f>
        <v/>
      </c>
      <c r="AA218" s="36" t="str">
        <f>IF(DeBeek!AD10=(""),(""),ROUND(DeBeek!AD10/DeBeek!$T10*10,3))</f>
        <v/>
      </c>
      <c r="AB218" s="36" t="str">
        <f>IF(DeBeek!AE10=(""),(""),ROUND(DeBeek!AE10/DeBeek!$T10*10,3))</f>
        <v/>
      </c>
      <c r="AC218" s="36" t="str">
        <f>IF(DeBeek!AF10=(""),(""),ROUND(DeBeek!AF10/DeBeek!$T10*10,3))</f>
        <v/>
      </c>
      <c r="AD218" s="36" t="str">
        <f>IF(DeBeek!AG10=(""),(""),ROUND(DeBeek!AG10/DeBeek!$T10*10,3))</f>
        <v/>
      </c>
      <c r="AE218" s="36"/>
    </row>
    <row r="219" spans="1:31" ht="15" customHeight="1" x14ac:dyDescent="0.3">
      <c r="A219" s="27">
        <f t="shared" si="147"/>
        <v>8</v>
      </c>
      <c r="B219" s="28" t="str">
        <f>DeBeek!A11</f>
        <v xml:space="preserve">Van Looveren Dirk </v>
      </c>
      <c r="C219" s="32">
        <f>IF(DeBeek!AL11=0," ",SUM(E219:AD219))</f>
        <v>75</v>
      </c>
      <c r="E219" s="36" t="str">
        <f>IF(DeBeek!C11=(""),(""),ROUND(DeBeek!C11/DeBeek!$B11*10,3))</f>
        <v/>
      </c>
      <c r="F219" s="36">
        <f>IF(DeBeek!D11=(""),(""),ROUND(DeBeek!D11/DeBeek!$B11*10,3))</f>
        <v>6.8179999999999996</v>
      </c>
      <c r="G219" s="36" t="str">
        <f>IF(DeBeek!E11=(""),(""),ROUND(DeBeek!E11/DeBeek!$B11*10,3))</f>
        <v/>
      </c>
      <c r="H219" s="36" t="str">
        <f>IF(DeBeek!F11=(""),(""),ROUND(DeBeek!F11/DeBeek!$B11*10,3))</f>
        <v/>
      </c>
      <c r="I219" s="36" t="str">
        <f>IF(DeBeek!G11=(""),(""),ROUND(DeBeek!G11/DeBeek!$B11*10,3))</f>
        <v/>
      </c>
      <c r="J219" s="36" t="str">
        <f>IF(DeBeek!H11=(""),(""),ROUND(DeBeek!H11/DeBeek!$B11*10,3))</f>
        <v/>
      </c>
      <c r="K219" s="36">
        <f>IF(DeBeek!I11=(""),(""),ROUND(DeBeek!I11/DeBeek!$B11*10,3))</f>
        <v>10.227</v>
      </c>
      <c r="L219" s="36">
        <f>IF(DeBeek!J11=(""),(""),ROUND(DeBeek!J11/DeBeek!$B11*10,3))</f>
        <v>2.9550000000000001</v>
      </c>
      <c r="M219" s="36">
        <f>IF(DeBeek!K11=(""),(""),ROUND(DeBeek!K11/DeBeek!$B11*10,3))</f>
        <v>13.635999999999999</v>
      </c>
      <c r="N219" s="36">
        <f>IF(DeBeek!L11=(""),(""),ROUND(DeBeek!L11/DeBeek!$B11*10,3))</f>
        <v>7.0449999999999999</v>
      </c>
      <c r="O219" s="36">
        <f>IF(DeBeek!M11=(""),(""),ROUND(DeBeek!M11/DeBeek!$B11*10,3))</f>
        <v>8.1820000000000004</v>
      </c>
      <c r="P219" s="36" t="str">
        <f>IF(DeBeek!N11=(""),(""),ROUND(DeBeek!N11/DeBeek!$B11*10,3))</f>
        <v/>
      </c>
      <c r="Q219" s="36">
        <f>IF(DeBeek!O11=(""),(""),ROUND(DeBeek!O11/DeBeek!$B11*10,3))</f>
        <v>13.182</v>
      </c>
      <c r="R219" s="36">
        <f>IF(DeBeek!U11=(""),(""),ROUND(DeBeek!U11/DeBeek!$T11*10,3))</f>
        <v>12.955</v>
      </c>
      <c r="S219" s="36" t="str">
        <f>IF(DeBeek!V11=(""),(""),ROUND(DeBeek!V11/DeBeek!$T11*10,3))</f>
        <v/>
      </c>
      <c r="T219" s="36" t="str">
        <f>IF(DeBeek!W11=(""),(""),ROUND(DeBeek!W11/DeBeek!$T11*10,3))</f>
        <v/>
      </c>
      <c r="U219" s="36" t="str">
        <f>IF(DeBeek!X11=(""),(""),ROUND(DeBeek!X11/DeBeek!$T11*10,3))</f>
        <v/>
      </c>
      <c r="V219" s="36" t="str">
        <f>IF(DeBeek!Y11=(""),(""),ROUND(DeBeek!Y11/DeBeek!$T11*10,3))</f>
        <v/>
      </c>
      <c r="W219" s="36" t="str">
        <f>IF(DeBeek!Z11=(""),(""),ROUND(DeBeek!Z11/DeBeek!$T11*10,3))</f>
        <v/>
      </c>
      <c r="X219" s="36" t="str">
        <f>IF(DeBeek!AA11=(""),(""),ROUND(DeBeek!AA11/DeBeek!$T11*10,3))</f>
        <v/>
      </c>
      <c r="Y219" s="36" t="str">
        <f>IF(DeBeek!AB11=(""),(""),ROUND(DeBeek!AB11/DeBeek!$T11*10,3))</f>
        <v/>
      </c>
      <c r="Z219" s="36" t="str">
        <f>IF(DeBeek!AC11=(""),(""),ROUND(DeBeek!AC11/DeBeek!$T11*10,3))</f>
        <v/>
      </c>
      <c r="AA219" s="36" t="str">
        <f>IF(DeBeek!AD11=(""),(""),ROUND(DeBeek!AD11/DeBeek!$T11*10,3))</f>
        <v/>
      </c>
      <c r="AB219" s="36" t="str">
        <f>IF(DeBeek!AE11=(""),(""),ROUND(DeBeek!AE11/DeBeek!$T11*10,3))</f>
        <v/>
      </c>
      <c r="AC219" s="36" t="str">
        <f>IF(DeBeek!AF11=(""),(""),ROUND(DeBeek!AF11/DeBeek!$T11*10,3))</f>
        <v/>
      </c>
      <c r="AD219" s="36" t="str">
        <f>IF(DeBeek!AG11=(""),(""),ROUND(DeBeek!AG11/DeBeek!$T11*10,3))</f>
        <v/>
      </c>
      <c r="AE219" s="36"/>
    </row>
    <row r="220" spans="1:31" ht="15" customHeight="1" x14ac:dyDescent="0.3">
      <c r="A220" s="27">
        <f t="shared" si="147"/>
        <v>10</v>
      </c>
      <c r="B220" s="28" t="str">
        <f>DeBeek!A12</f>
        <v>Van Wesenbeeck Marcel</v>
      </c>
      <c r="C220" s="32">
        <f>IF(DeBeek!AL12=0," ",SUM(E220:AD220))</f>
        <v>93.927999999999997</v>
      </c>
      <c r="E220" s="36">
        <f>IF(DeBeek!C12=(""),(""),ROUND(DeBeek!C12/DeBeek!$B12*10,3))</f>
        <v>8.2140000000000004</v>
      </c>
      <c r="F220" s="36">
        <f>IF(DeBeek!D12=(""),(""),ROUND(DeBeek!D12/DeBeek!$B12*10,3))</f>
        <v>5.7140000000000004</v>
      </c>
      <c r="G220" s="36">
        <f>IF(DeBeek!E12=(""),(""),ROUND(DeBeek!E12/DeBeek!$B12*10,3))</f>
        <v>8.9290000000000003</v>
      </c>
      <c r="H220" s="36">
        <f>IF(DeBeek!F12=(""),(""),ROUND(DeBeek!F12/DeBeek!$B12*10,3))</f>
        <v>8.5709999999999997</v>
      </c>
      <c r="I220" s="36">
        <f>IF(DeBeek!G12=(""),(""),ROUND(DeBeek!G12/DeBeek!$B12*10,3))</f>
        <v>11.071</v>
      </c>
      <c r="J220" s="36">
        <f>IF(DeBeek!H12=(""),(""),ROUND(DeBeek!H12/DeBeek!$B12*10,3))</f>
        <v>11.429</v>
      </c>
      <c r="K220" s="36" t="str">
        <f>IF(DeBeek!I12=(""),(""),ROUND(DeBeek!I12/DeBeek!$B12*10,3))</f>
        <v/>
      </c>
      <c r="L220" s="36" t="str">
        <f>IF(DeBeek!J12=(""),(""),ROUND(DeBeek!J12/DeBeek!$B12*10,3))</f>
        <v/>
      </c>
      <c r="M220" s="36">
        <f>IF(DeBeek!K12=(""),(""),ROUND(DeBeek!K12/DeBeek!$B12*10,3))</f>
        <v>11.071</v>
      </c>
      <c r="N220" s="36" t="str">
        <f>IF(DeBeek!L12=(""),(""),ROUND(DeBeek!L12/DeBeek!$B12*10,3))</f>
        <v/>
      </c>
      <c r="O220" s="36">
        <f>IF(DeBeek!M12=(""),(""),ROUND(DeBeek!M12/DeBeek!$B12*10,3))</f>
        <v>9.2859999999999996</v>
      </c>
      <c r="P220" s="36">
        <f>IF(DeBeek!N12=(""),(""),ROUND(DeBeek!N12/DeBeek!$B12*10,3))</f>
        <v>13.214</v>
      </c>
      <c r="Q220" s="36" t="str">
        <f>IF(DeBeek!O12=(""),(""),ROUND(DeBeek!O12/DeBeek!$B12*10,3))</f>
        <v/>
      </c>
      <c r="R220" s="36">
        <f>IF(DeBeek!U12=(""),(""),ROUND(DeBeek!U12/DeBeek!$T12*10,3))</f>
        <v>6.4290000000000003</v>
      </c>
      <c r="S220" s="36" t="str">
        <f>IF(DeBeek!V12=(""),(""),ROUND(DeBeek!V12/DeBeek!$T12*10,3))</f>
        <v/>
      </c>
      <c r="T220" s="36" t="str">
        <f>IF(DeBeek!W12=(""),(""),ROUND(DeBeek!W12/DeBeek!$T12*10,3))</f>
        <v/>
      </c>
      <c r="U220" s="36" t="str">
        <f>IF(DeBeek!X12=(""),(""),ROUND(DeBeek!X12/DeBeek!$T12*10,3))</f>
        <v/>
      </c>
      <c r="V220" s="36" t="str">
        <f>IF(DeBeek!Y12=(""),(""),ROUND(DeBeek!Y12/DeBeek!$T12*10,3))</f>
        <v/>
      </c>
      <c r="W220" s="36" t="str">
        <f>IF(DeBeek!Z12=(""),(""),ROUND(DeBeek!Z12/DeBeek!$T12*10,3))</f>
        <v/>
      </c>
      <c r="X220" s="36" t="str">
        <f>IF(DeBeek!AA12=(""),(""),ROUND(DeBeek!AA12/DeBeek!$T12*10,3))</f>
        <v/>
      </c>
      <c r="Y220" s="36" t="str">
        <f>IF(DeBeek!AB12=(""),(""),ROUND(DeBeek!AB12/DeBeek!$T12*10,3))</f>
        <v/>
      </c>
      <c r="Z220" s="36" t="str">
        <f>IF(DeBeek!AC12=(""),(""),ROUND(DeBeek!AC12/DeBeek!$T12*10,3))</f>
        <v/>
      </c>
      <c r="AA220" s="36" t="str">
        <f>IF(DeBeek!AD12=(""),(""),ROUND(DeBeek!AD12/DeBeek!$T12*10,3))</f>
        <v/>
      </c>
      <c r="AB220" s="36" t="str">
        <f>IF(DeBeek!AE12=(""),(""),ROUND(DeBeek!AE12/DeBeek!$T12*10,3))</f>
        <v/>
      </c>
      <c r="AC220" s="36" t="str">
        <f>IF(DeBeek!AF12=(""),(""),ROUND(DeBeek!AF12/DeBeek!$T12*10,3))</f>
        <v/>
      </c>
      <c r="AD220" s="36" t="str">
        <f>IF(DeBeek!AG12=(""),(""),ROUND(DeBeek!AG12/DeBeek!$T12*10,3))</f>
        <v/>
      </c>
      <c r="AE220" s="36"/>
    </row>
    <row r="221" spans="1:31" ht="15" customHeight="1" x14ac:dyDescent="0.3">
      <c r="A221" s="27">
        <f t="shared" si="147"/>
        <v>8</v>
      </c>
      <c r="B221" s="28" t="str">
        <f>DeBeek!A13</f>
        <v xml:space="preserve">Verhulst Adri     </v>
      </c>
      <c r="C221" s="32">
        <f>IF(DeBeek!AL13=0," ",SUM(E221:AD221))</f>
        <v>72.354000000000013</v>
      </c>
      <c r="E221" s="36" t="str">
        <f>IF(DeBeek!C13=(""),(""),ROUND(DeBeek!C13/DeBeek!$B13*10,3))</f>
        <v/>
      </c>
      <c r="F221" s="36">
        <f>IF(DeBeek!D13=(""),(""),ROUND(DeBeek!D13/DeBeek!$B13*10,3))</f>
        <v>14.118</v>
      </c>
      <c r="G221" s="36">
        <f>IF(DeBeek!E13=(""),(""),ROUND(DeBeek!E13/DeBeek!$B13*10,3))</f>
        <v>3.8239999999999998</v>
      </c>
      <c r="H221" s="36" t="str">
        <f>IF(DeBeek!F13=(""),(""),ROUND(DeBeek!F13/DeBeek!$B13*10,3))</f>
        <v/>
      </c>
      <c r="I221" s="36">
        <f>IF(DeBeek!G13=(""),(""),ROUND(DeBeek!G13/DeBeek!$B13*10,3))</f>
        <v>7.9409999999999998</v>
      </c>
      <c r="J221" s="36" t="str">
        <f>IF(DeBeek!H13=(""),(""),ROUND(DeBeek!H13/DeBeek!$B13*10,3))</f>
        <v/>
      </c>
      <c r="K221" s="36">
        <f>IF(DeBeek!I13=(""),(""),ROUND(DeBeek!I13/DeBeek!$B13*10,3))</f>
        <v>10.882</v>
      </c>
      <c r="L221" s="36">
        <f>IF(DeBeek!J13=(""),(""),ROUND(DeBeek!J13/DeBeek!$B13*10,3))</f>
        <v>9.7059999999999995</v>
      </c>
      <c r="M221" s="36" t="str">
        <f>IF(DeBeek!K13=(""),(""),ROUND(DeBeek!K13/DeBeek!$B13*10,3))</f>
        <v/>
      </c>
      <c r="N221" s="36" t="str">
        <f>IF(DeBeek!L13=(""),(""),ROUND(DeBeek!L13/DeBeek!$B13*10,3))</f>
        <v/>
      </c>
      <c r="O221" s="36" t="str">
        <f>IF(DeBeek!M13=(""),(""),ROUND(DeBeek!M13/DeBeek!$B13*10,3))</f>
        <v/>
      </c>
      <c r="P221" s="36">
        <f>IF(DeBeek!N13=(""),(""),ROUND(DeBeek!N13/DeBeek!$B13*10,3))</f>
        <v>11.471</v>
      </c>
      <c r="Q221" s="36">
        <f>IF(DeBeek!O13=(""),(""),ROUND(DeBeek!O13/DeBeek!$B13*10,3))</f>
        <v>7.6470000000000002</v>
      </c>
      <c r="R221" s="36">
        <f>IF(DeBeek!U13=(""),(""),ROUND(DeBeek!U13/DeBeek!$T13*10,3))</f>
        <v>6.7649999999999997</v>
      </c>
      <c r="S221" s="36" t="str">
        <f>IF(DeBeek!V13=(""),(""),ROUND(DeBeek!V13/DeBeek!$T13*10,3))</f>
        <v/>
      </c>
      <c r="T221" s="36" t="str">
        <f>IF(DeBeek!W13=(""),(""),ROUND(DeBeek!W13/DeBeek!$T13*10,3))</f>
        <v/>
      </c>
      <c r="U221" s="36" t="str">
        <f>IF(DeBeek!X13=(""),(""),ROUND(DeBeek!X13/DeBeek!$T13*10,3))</f>
        <v/>
      </c>
      <c r="V221" s="36" t="str">
        <f>IF(DeBeek!Y13=(""),(""),ROUND(DeBeek!Y13/DeBeek!$T13*10,3))</f>
        <v/>
      </c>
      <c r="W221" s="36" t="str">
        <f>IF(DeBeek!Z13=(""),(""),ROUND(DeBeek!Z13/DeBeek!$T13*10,3))</f>
        <v/>
      </c>
      <c r="X221" s="36" t="str">
        <f>IF(DeBeek!AA13=(""),(""),ROUND(DeBeek!AA13/DeBeek!$T13*10,3))</f>
        <v/>
      </c>
      <c r="Y221" s="36" t="str">
        <f>IF(DeBeek!AB13=(""),(""),ROUND(DeBeek!AB13/DeBeek!$T13*10,3))</f>
        <v/>
      </c>
      <c r="Z221" s="36" t="str">
        <f>IF(DeBeek!AC13=(""),(""),ROUND(DeBeek!AC13/DeBeek!$T13*10,3))</f>
        <v/>
      </c>
      <c r="AA221" s="36" t="str">
        <f>IF(DeBeek!AD13=(""),(""),ROUND(DeBeek!AD13/DeBeek!$T13*10,3))</f>
        <v/>
      </c>
      <c r="AB221" s="36" t="str">
        <f>IF(DeBeek!AE13=(""),(""),ROUND(DeBeek!AE13/DeBeek!$T13*10,3))</f>
        <v/>
      </c>
      <c r="AC221" s="36" t="str">
        <f>IF(DeBeek!AF13=(""),(""),ROUND(DeBeek!AF13/DeBeek!$T13*10,3))</f>
        <v/>
      </c>
      <c r="AD221" s="36" t="str">
        <f>IF(DeBeek!AG13=(""),(""),ROUND(DeBeek!AG13/DeBeek!$T13*10,3))</f>
        <v/>
      </c>
      <c r="AE221" s="36"/>
    </row>
    <row r="222" spans="1:31" ht="15" customHeight="1" x14ac:dyDescent="0.3">
      <c r="A222" s="27" t="str">
        <f t="shared" si="147"/>
        <v xml:space="preserve"> </v>
      </c>
      <c r="C222" s="32" t="str">
        <f>IF(DeBeek!AL14=0," ",SUM(E222:AD222))</f>
        <v xml:space="preserve"> </v>
      </c>
      <c r="E222" s="36" t="str">
        <f>IF(DeBeek!C14=(""),(""),ROUND(DeBeek!C14/DeBeek!$B14*10,3))</f>
        <v/>
      </c>
      <c r="F222" s="36" t="str">
        <f>IF(DeBeek!D14=(""),(""),ROUND(DeBeek!D14/DeBeek!$B14*10,3))</f>
        <v/>
      </c>
      <c r="G222" s="36" t="str">
        <f>IF(DeBeek!E14=(""),(""),ROUND(DeBeek!E14/DeBeek!$B14*10,3))</f>
        <v/>
      </c>
      <c r="H222" s="36" t="str">
        <f>IF(DeBeek!F14=(""),(""),ROUND(DeBeek!F14/DeBeek!$B14*10,3))</f>
        <v/>
      </c>
      <c r="I222" s="36" t="str">
        <f>IF(DeBeek!G14=(""),(""),ROUND(DeBeek!G14/DeBeek!$B14*10,3))</f>
        <v/>
      </c>
      <c r="J222" s="36" t="str">
        <f>IF(DeBeek!H14=(""),(""),ROUND(DeBeek!H14/DeBeek!$B14*10,3))</f>
        <v/>
      </c>
      <c r="K222" s="36" t="str">
        <f>IF(DeBeek!I14=(""),(""),ROUND(DeBeek!I14/DeBeek!$B14*10,3))</f>
        <v/>
      </c>
      <c r="L222" s="36" t="str">
        <f>IF(DeBeek!J14=(""),(""),ROUND(DeBeek!J14/DeBeek!$B14*10,3))</f>
        <v/>
      </c>
      <c r="M222" s="36" t="str">
        <f>IF(DeBeek!K14=(""),(""),ROUND(DeBeek!K14/DeBeek!$B14*10,3))</f>
        <v/>
      </c>
      <c r="N222" s="36" t="str">
        <f>IF(DeBeek!L14=(""),(""),ROUND(DeBeek!L14/DeBeek!$B14*10,3))</f>
        <v/>
      </c>
      <c r="O222" s="36" t="str">
        <f>IF(DeBeek!M14=(""),(""),ROUND(DeBeek!M14/DeBeek!$B14*10,3))</f>
        <v/>
      </c>
      <c r="P222" s="36" t="str">
        <f>IF(DeBeek!N14=(""),(""),ROUND(DeBeek!N14/DeBeek!$B14*10,3))</f>
        <v/>
      </c>
      <c r="Q222" s="36" t="str">
        <f>IF(DeBeek!O14=(""),(""),ROUND(DeBeek!O14/DeBeek!$B14*10,3))</f>
        <v/>
      </c>
      <c r="R222" s="36" t="str">
        <f>IF(DeBeek!U14=(""),(""),ROUND(DeBeek!U14/DeBeek!$T14*10,3))</f>
        <v/>
      </c>
      <c r="S222" s="36" t="str">
        <f>IF(DeBeek!V14=(""),(""),ROUND(DeBeek!V14/DeBeek!$T14*10,3))</f>
        <v/>
      </c>
      <c r="T222" s="36" t="str">
        <f>IF(DeBeek!W14=(""),(""),ROUND(DeBeek!W14/DeBeek!$T14*10,3))</f>
        <v/>
      </c>
      <c r="U222" s="36" t="str">
        <f>IF(DeBeek!X14=(""),(""),ROUND(DeBeek!X14/DeBeek!$T14*10,3))</f>
        <v/>
      </c>
      <c r="V222" s="36" t="str">
        <f>IF(DeBeek!Y14=(""),(""),ROUND(DeBeek!Y14/DeBeek!$T14*10,3))</f>
        <v/>
      </c>
      <c r="W222" s="36" t="str">
        <f>IF(DeBeek!Z14=(""),(""),ROUND(DeBeek!Z14/DeBeek!$T14*10,3))</f>
        <v/>
      </c>
      <c r="X222" s="36" t="str">
        <f>IF(DeBeek!AA14=(""),(""),ROUND(DeBeek!AA14/DeBeek!$T14*10,3))</f>
        <v/>
      </c>
      <c r="Y222" s="36" t="str">
        <f>IF(DeBeek!AB14=(""),(""),ROUND(DeBeek!AB14/DeBeek!$T14*10,3))</f>
        <v/>
      </c>
      <c r="Z222" s="36" t="str">
        <f>IF(DeBeek!AC14=(""),(""),ROUND(DeBeek!AC14/DeBeek!$T14*10,3))</f>
        <v/>
      </c>
      <c r="AA222" s="36" t="str">
        <f>IF(DeBeek!AD14=(""),(""),ROUND(DeBeek!AD14/DeBeek!$T14*10,3))</f>
        <v/>
      </c>
      <c r="AB222" s="36" t="str">
        <f>IF(DeBeek!AE14=(""),(""),ROUND(DeBeek!AE14/DeBeek!$T14*10,3))</f>
        <v/>
      </c>
      <c r="AC222" s="36" t="str">
        <f>IF(DeBeek!AF14=(""),(""),ROUND(DeBeek!AF14/DeBeek!$T14*10,3))</f>
        <v/>
      </c>
      <c r="AD222" s="36" t="str">
        <f>IF(DeBeek!AG14=(""),(""),ROUND(DeBeek!AG14/DeBeek!$T14*10,3))</f>
        <v/>
      </c>
      <c r="AE222" s="36"/>
    </row>
    <row r="223" spans="1:31" ht="22.2" customHeight="1" x14ac:dyDescent="0.3">
      <c r="C223" s="216" t="str">
        <f>B211</f>
        <v>BC De BEEK</v>
      </c>
      <c r="D223" s="35"/>
      <c r="E223" s="36">
        <f t="shared" ref="E223:AD223" si="148">IF(SUM(E212:E222)=0,(" "),SUM(E212:E222))</f>
        <v>50.902000000000001</v>
      </c>
      <c r="F223" s="36">
        <f t="shared" si="148"/>
        <v>53.87</v>
      </c>
      <c r="G223" s="36">
        <f t="shared" si="148"/>
        <v>49.937000000000005</v>
      </c>
      <c r="H223" s="36">
        <f t="shared" si="148"/>
        <v>67.581999999999994</v>
      </c>
      <c r="I223" s="36">
        <f t="shared" si="148"/>
        <v>58.063000000000002</v>
      </c>
      <c r="J223" s="36">
        <f t="shared" si="148"/>
        <v>59.263000000000005</v>
      </c>
      <c r="K223" s="36">
        <f t="shared" si="148"/>
        <v>66.293000000000006</v>
      </c>
      <c r="L223" s="36">
        <f t="shared" si="148"/>
        <v>46.456000000000003</v>
      </c>
      <c r="M223" s="36">
        <f t="shared" si="148"/>
        <v>54.584000000000003</v>
      </c>
      <c r="N223" s="36">
        <f t="shared" si="148"/>
        <v>54.859000000000009</v>
      </c>
      <c r="O223" s="36">
        <f t="shared" si="148"/>
        <v>65.5</v>
      </c>
      <c r="P223" s="36">
        <f t="shared" si="148"/>
        <v>74.555999999999997</v>
      </c>
      <c r="Q223" s="36">
        <f t="shared" si="148"/>
        <v>64.019000000000005</v>
      </c>
      <c r="R223" s="36">
        <f t="shared" si="148"/>
        <v>57.353000000000002</v>
      </c>
      <c r="S223" s="36" t="str">
        <f t="shared" si="148"/>
        <v xml:space="preserve"> </v>
      </c>
      <c r="T223" s="36" t="str">
        <f t="shared" si="148"/>
        <v xml:space="preserve"> </v>
      </c>
      <c r="U223" s="36" t="str">
        <f t="shared" si="148"/>
        <v xml:space="preserve"> </v>
      </c>
      <c r="V223" s="36" t="str">
        <f t="shared" si="148"/>
        <v xml:space="preserve"> </v>
      </c>
      <c r="W223" s="36" t="str">
        <f t="shared" si="148"/>
        <v xml:space="preserve"> </v>
      </c>
      <c r="X223" s="36" t="str">
        <f t="shared" si="148"/>
        <v xml:space="preserve"> </v>
      </c>
      <c r="Y223" s="36" t="str">
        <f t="shared" si="148"/>
        <v xml:space="preserve"> </v>
      </c>
      <c r="Z223" s="36" t="str">
        <f t="shared" si="148"/>
        <v xml:space="preserve"> </v>
      </c>
      <c r="AA223" s="36" t="str">
        <f t="shared" si="148"/>
        <v xml:space="preserve"> </v>
      </c>
      <c r="AB223" s="36" t="str">
        <f t="shared" si="148"/>
        <v xml:space="preserve"> </v>
      </c>
      <c r="AC223" s="36" t="str">
        <f t="shared" si="148"/>
        <v xml:space="preserve"> </v>
      </c>
      <c r="AD223" s="36" t="str">
        <f t="shared" si="148"/>
        <v xml:space="preserve"> </v>
      </c>
      <c r="AE223" s="36"/>
    </row>
    <row r="224" spans="1:31" s="39" customFormat="1" ht="15" customHeight="1" x14ac:dyDescent="0.35">
      <c r="A224" s="37"/>
      <c r="B224" s="38"/>
      <c r="C224" s="41">
        <f>SUM(C212:C222)</f>
        <v>823.23699999999997</v>
      </c>
      <c r="D224" s="223" t="str">
        <f>B211</f>
        <v>BC De BEEK</v>
      </c>
      <c r="E224" s="40">
        <f>E223</f>
        <v>50.902000000000001</v>
      </c>
      <c r="F224" s="40">
        <f t="shared" ref="F224:AD224" si="149">IF(F223=(" "),(" "),E224+F223)</f>
        <v>104.77199999999999</v>
      </c>
      <c r="G224" s="40">
        <f t="shared" si="149"/>
        <v>154.709</v>
      </c>
      <c r="H224" s="40">
        <f t="shared" si="149"/>
        <v>222.291</v>
      </c>
      <c r="I224" s="40">
        <f t="shared" si="149"/>
        <v>280.35399999999998</v>
      </c>
      <c r="J224" s="40">
        <f t="shared" si="149"/>
        <v>339.61699999999996</v>
      </c>
      <c r="K224" s="40">
        <f t="shared" si="149"/>
        <v>405.90999999999997</v>
      </c>
      <c r="L224" s="40">
        <f t="shared" si="149"/>
        <v>452.36599999999999</v>
      </c>
      <c r="M224" s="40">
        <f t="shared" si="149"/>
        <v>506.95</v>
      </c>
      <c r="N224" s="40">
        <f t="shared" si="149"/>
        <v>561.80899999999997</v>
      </c>
      <c r="O224" s="40">
        <f t="shared" si="149"/>
        <v>627.30899999999997</v>
      </c>
      <c r="P224" s="40">
        <f t="shared" si="149"/>
        <v>701.86500000000001</v>
      </c>
      <c r="Q224" s="40">
        <f t="shared" si="149"/>
        <v>765.88400000000001</v>
      </c>
      <c r="R224" s="40">
        <f t="shared" si="149"/>
        <v>823.23699999999997</v>
      </c>
      <c r="S224" s="40" t="str">
        <f t="shared" si="149"/>
        <v xml:space="preserve"> </v>
      </c>
      <c r="T224" s="40" t="str">
        <f t="shared" si="149"/>
        <v xml:space="preserve"> </v>
      </c>
      <c r="U224" s="40" t="str">
        <f t="shared" si="149"/>
        <v xml:space="preserve"> </v>
      </c>
      <c r="V224" s="40" t="str">
        <f t="shared" si="149"/>
        <v xml:space="preserve"> </v>
      </c>
      <c r="W224" s="40" t="str">
        <f t="shared" si="149"/>
        <v xml:space="preserve"> </v>
      </c>
      <c r="X224" s="40" t="str">
        <f t="shared" si="149"/>
        <v xml:space="preserve"> </v>
      </c>
      <c r="Y224" s="40" t="str">
        <f t="shared" si="149"/>
        <v xml:space="preserve"> </v>
      </c>
      <c r="Z224" s="40" t="str">
        <f t="shared" si="149"/>
        <v xml:space="preserve"> </v>
      </c>
      <c r="AA224" s="40" t="str">
        <f t="shared" si="149"/>
        <v xml:space="preserve"> </v>
      </c>
      <c r="AB224" s="40" t="str">
        <f t="shared" si="149"/>
        <v xml:space="preserve"> </v>
      </c>
      <c r="AC224" s="40" t="str">
        <f t="shared" si="149"/>
        <v xml:space="preserve"> </v>
      </c>
      <c r="AD224" s="40" t="str">
        <f t="shared" si="149"/>
        <v xml:space="preserve"> </v>
      </c>
      <c r="AE224" s="40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  <row r="238" spans="5:31" ht="15" customHeight="1" x14ac:dyDescent="0.3"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</row>
    <row r="239" spans="5:31" ht="15" customHeight="1" x14ac:dyDescent="0.3"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</row>
  </sheetData>
  <conditionalFormatting sqref="E4:AD17 E174:AE176 AE177:AE188 E178:AD188 E189:AE194">
    <cfRule type="cellIs" dxfId="99" priority="35" operator="equal">
      <formula>0</formula>
    </cfRule>
  </conditionalFormatting>
  <conditionalFormatting sqref="E20:AD36">
    <cfRule type="cellIs" dxfId="98" priority="34" operator="equal">
      <formula>0</formula>
    </cfRule>
  </conditionalFormatting>
  <conditionalFormatting sqref="E39:AD51">
    <cfRule type="cellIs" dxfId="97" priority="24" operator="equal">
      <formula>0</formula>
    </cfRule>
  </conditionalFormatting>
  <conditionalFormatting sqref="E54:AD68">
    <cfRule type="cellIs" dxfId="96" priority="22" operator="equal">
      <formula>0</formula>
    </cfRule>
  </conditionalFormatting>
  <conditionalFormatting sqref="E71:AD81">
    <cfRule type="cellIs" dxfId="95" priority="20" operator="equal">
      <formula>0</formula>
    </cfRule>
  </conditionalFormatting>
  <conditionalFormatting sqref="E84:AD95">
    <cfRule type="cellIs" dxfId="94" priority="18" operator="equal">
      <formula>0</formula>
    </cfRule>
  </conditionalFormatting>
  <conditionalFormatting sqref="E98:AD113">
    <cfRule type="cellIs" dxfId="93" priority="16" operator="equal">
      <formula>0</formula>
    </cfRule>
  </conditionalFormatting>
  <conditionalFormatting sqref="E146:AD156">
    <cfRule type="cellIs" dxfId="92" priority="10" operator="equal">
      <formula>0</formula>
    </cfRule>
  </conditionalFormatting>
  <conditionalFormatting sqref="E161:AD173">
    <cfRule type="cellIs" dxfId="91" priority="8" operator="equal">
      <formula>0</formula>
    </cfRule>
  </conditionalFormatting>
  <conditionalFormatting sqref="E196:AD207">
    <cfRule type="cellIs" dxfId="90" priority="4" operator="equal">
      <formula>0</formula>
    </cfRule>
  </conditionalFormatting>
  <conditionalFormatting sqref="E212:AD222">
    <cfRule type="cellIs" dxfId="89" priority="2" operator="equal">
      <formula>0</formula>
    </cfRule>
  </conditionalFormatting>
  <conditionalFormatting sqref="E132:AE142 AE143 E144:AE144">
    <cfRule type="cellIs" dxfId="88" priority="12" operator="equal">
      <formula>0</formula>
    </cfRule>
  </conditionalFormatting>
  <conditionalFormatting sqref="AE145:AE156 E157:AE159 AE160:AE173 AE195:AE207 E208:AE210 AE211:AE222 E223:AE239">
    <cfRule type="cellIs" dxfId="87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5"/>
  <sheetViews>
    <sheetView showGridLines="0" showRowColHeaders="0" zoomScale="115" zoomScaleNormal="115" workbookViewId="0">
      <selection activeCell="J145" sqref="J145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93" t="s">
        <v>286</v>
      </c>
      <c r="B1" s="293"/>
      <c r="C1" s="293"/>
      <c r="D1" s="293"/>
      <c r="E1" s="213" t="s">
        <v>334</v>
      </c>
    </row>
    <row r="2" spans="1:5" ht="21" customHeight="1" x14ac:dyDescent="0.3">
      <c r="A2" s="294" t="s">
        <v>287</v>
      </c>
      <c r="B2" s="294"/>
      <c r="C2" s="294"/>
      <c r="D2" s="294"/>
      <c r="E2" s="220">
        <f>Rangschikking!E3</f>
        <v>46032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VLOOKUP(B6,Punten!$C$3:$AD$224,3,0)</f>
        <v>60.343999999999994</v>
      </c>
      <c r="E6" s="104">
        <f>VLOOKUP(C6,Punten!$C$3:$AD$224,3,0)</f>
        <v>63.094999999999999</v>
      </c>
    </row>
    <row r="7" spans="1:5" s="84" customFormat="1" ht="15" x14ac:dyDescent="0.25">
      <c r="A7" s="127">
        <v>45874</v>
      </c>
      <c r="B7" s="98" t="s">
        <v>291</v>
      </c>
      <c r="C7" s="105" t="s">
        <v>7</v>
      </c>
      <c r="D7" s="104">
        <f>VLOOKUP(B7,Punten!$C$3:$AD$224,3,0)</f>
        <v>50.902000000000001</v>
      </c>
      <c r="E7" s="104">
        <f>VLOOKUP(C7,Punten!$C$3:$AD$224,3,0)</f>
        <v>83.358999999999995</v>
      </c>
    </row>
    <row r="8" spans="1:5" s="84" customFormat="1" ht="15" x14ac:dyDescent="0.25">
      <c r="A8" s="172">
        <v>45874</v>
      </c>
      <c r="B8" s="171" t="s">
        <v>9</v>
      </c>
      <c r="C8" s="171" t="s">
        <v>8</v>
      </c>
      <c r="D8" s="104">
        <f>VLOOKUP(B8,Punten!$C$3:$AD$224,3,0)</f>
        <v>61.838000000000001</v>
      </c>
      <c r="E8" s="104">
        <f>VLOOKUP(C8,Punten!$C$3:$AD$224,3,0)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VLOOKUP(B9,Punten!$C$3:$AD$224,3,0)</f>
        <v>71.248000000000005</v>
      </c>
      <c r="E9" s="104">
        <f>VLOOKUP(C9,Punten!$C$3:$AD$224,3,0)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VLOOKUP(B10,Punten!$C$3:$AD$224,3,0)</f>
        <v>54.572000000000003</v>
      </c>
      <c r="E10" s="104">
        <f>VLOOKUP(C10,Punten!$C$3:$AD$224,3,0)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290</v>
      </c>
      <c r="D11" s="104">
        <f>VLOOKUP(B11,Punten!$C$3:$AD$224,3,0)</f>
        <v>55.038999999999994</v>
      </c>
      <c r="E11" s="104">
        <f>VLOOKUP(C11,Punten!$C$3:$AD$224,3,0)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VLOOKUP(B12,Punten!$C$3:$AD$224,3,0)</f>
        <v>55.621000000000002</v>
      </c>
      <c r="E12" s="104">
        <f>VLOOKUP(C12,Punten!$C$3:$AD$224,3,0)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290</v>
      </c>
      <c r="D14" s="104">
        <f>VLOOKUP(B14,Punten!$C$3:$AD$224,4,0)</f>
        <v>59.448000000000008</v>
      </c>
      <c r="E14" s="104">
        <f>VLOOKUP(C14,Punten!$C$3:$AD$224,4,0)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VLOOKUP(B15,Punten!$C$3:$AD$224,4,0)</f>
        <v>54.28</v>
      </c>
      <c r="E15" s="104">
        <f>VLOOKUP(C15,Punten!$C$3:$AD$224,4,0)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VLOOKUP(B16,Punten!$C$3:$AD$224,4,0)</f>
        <v>53.670999999999999</v>
      </c>
      <c r="E16" s="104">
        <f>VLOOKUP(C16,Punten!$C$3:$AD$224,4,0)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291</v>
      </c>
      <c r="D17" s="104">
        <f>VLOOKUP(B17,Punten!$C$3:$AD$224,4,0)</f>
        <v>50.080000000000005</v>
      </c>
      <c r="E17" s="104">
        <f>VLOOKUP(C17,Punten!$C$3:$AD$224,4,0)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VLOOKUP(B18,Punten!$C$3:$AD$224,4,0)</f>
        <v>50.721999999999994</v>
      </c>
      <c r="E18" s="104">
        <f>VLOOKUP(C18,Punten!$C$3:$AD$224,4,0)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VLOOKUP(B19,Punten!$C$3:$AD$224,4,0)</f>
        <v>53.09</v>
      </c>
      <c r="E19" s="104">
        <f>VLOOKUP(C19,Punten!$C$3:$AD$224,4,0)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VLOOKUP(B20,Punten!$C$3:$AD$224,4,0)</f>
        <v>47.492000000000004</v>
      </c>
      <c r="E20" s="104">
        <f>VLOOKUP(C20,Punten!$C$3:$AD$224,4,0)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VLOOKUP(B22,Punten!$C$3:$AD$224,5,0)</f>
        <v>66.492000000000004</v>
      </c>
      <c r="E22" s="104">
        <f>VLOOKUP(C22,Punten!$C$3:$AD$224,5,0)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VLOOKUP(B23,Punten!$C$3:$AD$224,5,0)</f>
        <v>58.344000000000001</v>
      </c>
      <c r="E23" s="104">
        <f>VLOOKUP(C23,Punten!$C$3:$AD$224,5,0)</f>
        <v>42.052999999999997</v>
      </c>
    </row>
    <row r="24" spans="1:5" s="84" customFormat="1" ht="15" x14ac:dyDescent="0.25">
      <c r="A24" s="96">
        <v>45887</v>
      </c>
      <c r="B24" s="98" t="s">
        <v>290</v>
      </c>
      <c r="C24" s="98" t="s">
        <v>5</v>
      </c>
      <c r="D24" s="104">
        <f>VLOOKUP(B24,Punten!$C$3:$AD$224,5,0)</f>
        <v>52.679999999999993</v>
      </c>
      <c r="E24" s="104">
        <f>VLOOKUP(C24,Punten!$C$3:$AD$224,5,0)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VLOOKUP(B25,Punten!$C$3:$AD$224,5,0)</f>
        <v>70.929000000000002</v>
      </c>
      <c r="E25" s="104">
        <f>VLOOKUP(C25,Punten!$C$3:$AD$224,5,0)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VLOOKUP(B26,Punten!$C$3:$AD$224,5,0)</f>
        <v>64.975000000000009</v>
      </c>
      <c r="E26" s="104">
        <f>VLOOKUP(C26,Punten!$C$3:$AD$224,5,0)</f>
        <v>53.533999999999992</v>
      </c>
    </row>
    <row r="27" spans="1:5" s="84" customFormat="1" ht="15" x14ac:dyDescent="0.25">
      <c r="A27" s="96">
        <v>45888</v>
      </c>
      <c r="B27" s="98" t="s">
        <v>291</v>
      </c>
      <c r="C27" s="105" t="s">
        <v>12</v>
      </c>
      <c r="D27" s="104">
        <f>VLOOKUP(B27,Punten!$C$3:$AD$224,5,0)</f>
        <v>49.937000000000005</v>
      </c>
      <c r="E27" s="104">
        <f>VLOOKUP(C27,Punten!$C$3:$AD$224,5,0)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VLOOKUP(B28,Punten!$C$3:$AD$224,5,0)</f>
        <v>49.448999999999998</v>
      </c>
      <c r="E28" s="104">
        <f>VLOOKUP(C28,Punten!$C$3:$AD$224,5,0)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VLOOKUP(B30,Punten!$C$3:$AD$224,6,0)</f>
        <v>55.756</v>
      </c>
      <c r="E30" s="104">
        <f>VLOOKUP(C30,Punten!$C$3:$AD$224,6,0)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VLOOKUP(B31,Punten!$C$3:$AD$224,6,0)</f>
        <v>42.302999999999997</v>
      </c>
      <c r="E31" s="104">
        <f>VLOOKUP(C31,Punten!$C$3:$AD$224,6,0)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VLOOKUP(B32,Punten!$C$3:$AD$224,6,0)</f>
        <v>55.581000000000003</v>
      </c>
      <c r="E32" s="104">
        <f>VLOOKUP(C32,Punten!$C$3:$AD$224,6,0)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VLOOKUP(B33,Punten!$C$3:$AD$224,6,0)</f>
        <v>56.558</v>
      </c>
      <c r="E33" s="104">
        <f>VLOOKUP(C33,Punten!$C$3:$AD$224,6,0)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291</v>
      </c>
      <c r="D34" s="104">
        <f>VLOOKUP(B34,Punten!$C$3:$AD$224,6,0)</f>
        <v>62.265999999999991</v>
      </c>
      <c r="E34" s="104">
        <f>VLOOKUP(C34,Punten!$C$3:$AD$224,6,0)</f>
        <v>67.581999999999994</v>
      </c>
    </row>
    <row r="35" spans="1:5" s="84" customFormat="1" x14ac:dyDescent="0.3">
      <c r="A35" s="231">
        <v>45936</v>
      </c>
      <c r="B35" s="232" t="s">
        <v>13</v>
      </c>
      <c r="C35" s="230" t="s">
        <v>290</v>
      </c>
      <c r="D35" s="104">
        <f>VLOOKUP(B35,Punten!$C$3:$AD$224,6,0)</f>
        <v>52.417000000000002</v>
      </c>
      <c r="E35" s="104">
        <f>VLOOKUP(C35,Punten!$C$3:$AD$224,6,0)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VLOOKUP(B36,Punten!$C$3:$AD$224,6,0)</f>
        <v>55.134</v>
      </c>
      <c r="E36" s="104">
        <f>VLOOKUP(C36,Punten!$C$3:$AD$224,6,0)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290</v>
      </c>
      <c r="C38" s="98" t="s">
        <v>15</v>
      </c>
      <c r="D38" s="104">
        <f>VLOOKUP(B38,Punten!$C$3:$AD$224,7,0)</f>
        <v>53.189</v>
      </c>
      <c r="E38" s="104">
        <f>VLOOKUP(C38,Punten!$C$3:$AD$224,7,0)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VLOOKUP(B39,Punten!$C$3:$AD$224,7,0)</f>
        <v>60.369</v>
      </c>
      <c r="E39" s="104">
        <f>VLOOKUP(C39,Punten!$C$3:$AD$224,7,0)</f>
        <v>55.805</v>
      </c>
    </row>
    <row r="40" spans="1:5" s="84" customFormat="1" x14ac:dyDescent="0.3">
      <c r="A40" s="235">
        <v>45946</v>
      </c>
      <c r="B40" s="230" t="s">
        <v>16</v>
      </c>
      <c r="C40" s="230" t="s">
        <v>7</v>
      </c>
      <c r="D40" s="266">
        <f>VLOOKUP(B40,Punten!$C$3:$AD$224,7,0)</f>
        <v>58.264000000000003</v>
      </c>
      <c r="E40" s="266">
        <f>VLOOKUP(C40,Punten!$C$3:$AD$224,7,0)</f>
        <v>53.423999999999999</v>
      </c>
    </row>
    <row r="41" spans="1:5" s="84" customFormat="1" ht="15" x14ac:dyDescent="0.25">
      <c r="A41" s="96">
        <v>45916</v>
      </c>
      <c r="B41" s="98" t="s">
        <v>291</v>
      </c>
      <c r="C41" s="98" t="s">
        <v>14</v>
      </c>
      <c r="D41" s="104">
        <f>VLOOKUP(B41,Punten!$C$3:$AD$224,7,0)</f>
        <v>58.063000000000002</v>
      </c>
      <c r="E41" s="104">
        <f>VLOOKUP(C41,Punten!$C$3:$AD$224,7,0)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VLOOKUP(B42,Punten!$C$3:$AD$224,7,0)</f>
        <v>73.739000000000004</v>
      </c>
      <c r="E42" s="104">
        <f>VLOOKUP(C42,Punten!$C$3:$AD$224,7,0)</f>
        <v>68.933999999999997</v>
      </c>
    </row>
    <row r="43" spans="1:5" s="84" customFormat="1" x14ac:dyDescent="0.3">
      <c r="A43" s="235">
        <v>45958</v>
      </c>
      <c r="B43" s="230" t="s">
        <v>9</v>
      </c>
      <c r="C43" s="230" t="s">
        <v>10</v>
      </c>
      <c r="D43" s="266">
        <f>VLOOKUP(B43,Punten!$C$3:$AD$224,7,0)</f>
        <v>61.108000000000004</v>
      </c>
      <c r="E43" s="266">
        <f>VLOOKUP(C43,Punten!$C$3:$AD$224,7,0)</f>
        <v>52.704000000000001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VLOOKUP(B44,Punten!$C$3:$AD$224,7,0)</f>
        <v>44.600999999999999</v>
      </c>
      <c r="E44" s="104">
        <f>VLOOKUP(C44,Punten!$C$3:$AD$224,7,0)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VLOOKUP(B46,Punten!$C$3:$AD$224,8,0)</f>
        <v>54.995000000000005</v>
      </c>
      <c r="E46" s="104">
        <f>VLOOKUP(C46,Punten!$C$3:$AD$224,8,0)</f>
        <v>57.887</v>
      </c>
    </row>
    <row r="47" spans="1:5" s="84" customFormat="1" ht="15" x14ac:dyDescent="0.25">
      <c r="A47" s="96">
        <v>45929</v>
      </c>
      <c r="B47" s="105" t="s">
        <v>290</v>
      </c>
      <c r="C47" s="98" t="s">
        <v>11</v>
      </c>
      <c r="D47" s="104">
        <f>VLOOKUP(B47,Punten!$C$3:$AD$224,8,0)</f>
        <v>63.293999999999997</v>
      </c>
      <c r="E47" s="104">
        <f>VLOOKUP(C47,Punten!$C$3:$AD$224,8,0)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VLOOKUP(B48,Punten!$C$3:$AD$224,8,0)</f>
        <v>57.743000000000002</v>
      </c>
      <c r="E48" s="104">
        <f>VLOOKUP(C48,Punten!$C$3:$AD$224,8,0)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291</v>
      </c>
      <c r="D49" s="104">
        <f>VLOOKUP(B49,Punten!$C$3:$AD$224,8,0)</f>
        <v>73.63</v>
      </c>
      <c r="E49" s="104">
        <f>VLOOKUP(C49,Punten!$C$3:$AD$224,8,0)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VLOOKUP(B50,Punten!$C$3:$AD$224,8,0)</f>
        <v>52.085000000000001</v>
      </c>
      <c r="E50" s="104">
        <f>VLOOKUP(C50,Punten!$C$3:$AD$224,8,0)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VLOOKUP(B51,Punten!$C$3:$AD$224,8,0)</f>
        <v>73.312999999999988</v>
      </c>
      <c r="E51" s="104">
        <f>VLOOKUP(C51,Punten!$C$3:$AD$224,8,0)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VLOOKUP(B52,Punten!$C$3:$AD$224,8,0)</f>
        <v>60.25</v>
      </c>
      <c r="E52" s="104">
        <f>VLOOKUP(C52,Punten!$C$3:$AD$224,8,0)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VLOOKUP(B54,Punten!$C$3:$AD$224,9,0)</f>
        <v>64.655000000000001</v>
      </c>
      <c r="E54" s="104">
        <f>VLOOKUP(C54,Punten!$C$3:$AD$224,9,0)</f>
        <v>52.633000000000003</v>
      </c>
    </row>
    <row r="55" spans="1:5" s="84" customFormat="1" ht="15" customHeight="1" x14ac:dyDescent="0.25">
      <c r="A55" s="172">
        <v>45943</v>
      </c>
      <c r="B55" s="171" t="s">
        <v>14</v>
      </c>
      <c r="C55" s="171" t="s">
        <v>8</v>
      </c>
      <c r="D55" s="104">
        <f>VLOOKUP(B55,Punten!$C$3:$AD$224,9,0)</f>
        <v>72.176999999999992</v>
      </c>
      <c r="E55" s="104">
        <f>VLOOKUP(C55,Punten!$C$3:$AD$224,9,0)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VLOOKUP(B56,Punten!$C$3:$AD$224,9,0)</f>
        <v>49.109000000000002</v>
      </c>
      <c r="E56" s="104">
        <f>VLOOKUP(C56,Punten!$C$3:$AD$224,9,0)</f>
        <v>72.751000000000005</v>
      </c>
    </row>
    <row r="57" spans="1:5" s="84" customFormat="1" ht="15" x14ac:dyDescent="0.25">
      <c r="A57" s="96">
        <v>45944</v>
      </c>
      <c r="B57" s="98" t="s">
        <v>291</v>
      </c>
      <c r="C57" s="98" t="s">
        <v>13</v>
      </c>
      <c r="D57" s="104">
        <f>VLOOKUP(B57,Punten!$C$3:$AD$224,9,0)</f>
        <v>66.293000000000006</v>
      </c>
      <c r="E57" s="104">
        <f>VLOOKUP(C57,Punten!$C$3:$AD$224,9,0)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VLOOKUP(B58,Punten!$C$3:$AD$224,9,0)</f>
        <v>56.863</v>
      </c>
      <c r="E58" s="104">
        <f>VLOOKUP(C58,Punten!$C$3:$AD$224,9,0)</f>
        <v>50.501000000000005</v>
      </c>
    </row>
    <row r="59" spans="1:5" x14ac:dyDescent="0.3">
      <c r="A59" s="96">
        <v>45945</v>
      </c>
      <c r="B59" s="105" t="s">
        <v>6</v>
      </c>
      <c r="C59" s="98" t="s">
        <v>290</v>
      </c>
      <c r="D59" s="104">
        <f>VLOOKUP(B59,Punten!$C$3:$AD$224,9,0)</f>
        <v>60.754000000000005</v>
      </c>
      <c r="E59" s="104">
        <f>VLOOKUP(C59,Punten!$C$3:$AD$224,9,0)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VLOOKUP(B60,Punten!$C$3:$AD$224,9,0)</f>
        <v>47.510999999999996</v>
      </c>
      <c r="E60" s="104">
        <f>VLOOKUP(C60,Punten!$C$3:$AD$224,9,0)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>
        <f>VLOOKUP(B62,Punten!$C$3:$AD$224,10,0)</f>
        <v>61.198999999999998</v>
      </c>
      <c r="E62" s="104">
        <f>VLOOKUP(C62,Punten!$C$3:$AD$224,10,0)</f>
        <v>56.524999999999999</v>
      </c>
    </row>
    <row r="63" spans="1:5" ht="15" customHeight="1" x14ac:dyDescent="0.3">
      <c r="A63" s="96">
        <v>45957</v>
      </c>
      <c r="B63" s="98" t="s">
        <v>290</v>
      </c>
      <c r="C63" s="98" t="s">
        <v>291</v>
      </c>
      <c r="D63" s="104">
        <f>VLOOKUP(B63,Punten!$C$3:$AD$224,10,0)</f>
        <v>53.39</v>
      </c>
      <c r="E63" s="104">
        <f>VLOOKUP(C63,Punten!$C$3:$AD$224,10,0)</f>
        <v>46.456000000000003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>
        <f>VLOOKUP(B64,Punten!$C$3:$AD$224,10,0)</f>
        <v>60.869000000000007</v>
      </c>
      <c r="E64" s="104">
        <f>VLOOKUP(C64,Punten!$C$3:$AD$224,10,0)</f>
        <v>60.735999999999997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>
        <f>VLOOKUP(B65,Punten!$C$3:$AD$224,10,0)</f>
        <v>62.817999999999998</v>
      </c>
      <c r="E65" s="104">
        <f>VLOOKUP(C65,Punten!$C$3:$AD$224,10,0)</f>
        <v>70.790000000000006</v>
      </c>
    </row>
    <row r="66" spans="1:6" ht="15" customHeight="1" x14ac:dyDescent="0.3">
      <c r="A66" s="172">
        <v>45958</v>
      </c>
      <c r="B66" s="171" t="s">
        <v>8</v>
      </c>
      <c r="C66" s="171" t="s">
        <v>5</v>
      </c>
      <c r="D66" s="104">
        <f>VLOOKUP(B66,Punten!$C$3:$AD$224,10,0)</f>
        <v>57.887</v>
      </c>
      <c r="E66" s="104">
        <f>VLOOKUP(C66,Punten!$C$3:$AD$224,10,0)</f>
        <v>56.466000000000001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>
        <f>VLOOKUP(B67,Punten!$C$3:$AD$224,10,0)</f>
        <v>68.323999999999998</v>
      </c>
      <c r="E67" s="104">
        <f>VLOOKUP(C67,Punten!$C$3:$AD$224,10,0)</f>
        <v>50.805999999999997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>
        <f>VLOOKUP(B68,Punten!$C$3:$AD$224,10,0)</f>
        <v>63.644000000000005</v>
      </c>
      <c r="E68" s="104">
        <f>VLOOKUP(C68,Punten!$C$3:$AD$224,10,0)</f>
        <v>43.688000000000002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>
        <f>VLOOKUP(B70,Punten!$C$3:$AD$224,11,0)</f>
        <v>58.667000000000002</v>
      </c>
      <c r="E70" s="104">
        <f>VLOOKUP(C70,Punten!$C$3:$AD$224,11,0)</f>
        <v>60.411999999999999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>
        <f>VLOOKUP(B71,Punten!$C$3:$AD$224,11,0)</f>
        <v>76.480999999999995</v>
      </c>
      <c r="E71" s="104">
        <f>VLOOKUP(C71,Punten!$C$3:$AD$224,11,0)</f>
        <v>71.329000000000008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04">
        <f>VLOOKUP(B72,Punten!$C$3:$AD$224,11,0)</f>
        <v>67.745999999999995</v>
      </c>
      <c r="E72" s="104">
        <f>VLOOKUP(C72,Punten!$C$3:$AD$224,11,0)</f>
        <v>57.384</v>
      </c>
    </row>
    <row r="73" spans="1:6" ht="15" customHeight="1" x14ac:dyDescent="0.3">
      <c r="A73" s="117">
        <v>45974</v>
      </c>
      <c r="B73" s="121" t="s">
        <v>291</v>
      </c>
      <c r="C73" s="121" t="s">
        <v>11</v>
      </c>
      <c r="D73" s="104">
        <f>VLOOKUP(B73,Punten!$C$3:$AD$224,11,0)</f>
        <v>54.584000000000003</v>
      </c>
      <c r="E73" s="104">
        <f>VLOOKUP(C73,Punten!$C$3:$AD$224,11,0)</f>
        <v>65.575000000000003</v>
      </c>
    </row>
    <row r="74" spans="1:6" ht="15" customHeight="1" x14ac:dyDescent="0.3">
      <c r="A74" s="172">
        <v>45974</v>
      </c>
      <c r="B74" s="171" t="s">
        <v>13</v>
      </c>
      <c r="C74" s="171" t="s">
        <v>8</v>
      </c>
      <c r="D74" s="266">
        <f>VLOOKUP(B74,Punten!$C$3:$AD$224,11,0)</f>
        <v>67.024999999999991</v>
      </c>
      <c r="E74" s="266">
        <f>VLOOKUP(C74,Punten!$C$3:$AD$224,11,0)</f>
        <v>73.556000000000012</v>
      </c>
    </row>
    <row r="75" spans="1:6" ht="15" customHeight="1" x14ac:dyDescent="0.3">
      <c r="A75" s="118">
        <v>45974</v>
      </c>
      <c r="B75" s="121" t="s">
        <v>9</v>
      </c>
      <c r="C75" s="121" t="s">
        <v>290</v>
      </c>
      <c r="D75" s="104">
        <f>VLOOKUP(B75,Punten!$C$3:$AD$224,11,0)</f>
        <v>71.91</v>
      </c>
      <c r="E75" s="104">
        <f>VLOOKUP(C75,Punten!$C$3:$AD$224,11,0)</f>
        <v>65.765000000000001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>
        <f>VLOOKUP(B76,Punten!$C$3:$AD$224,11,0)</f>
        <v>49.686999999999998</v>
      </c>
      <c r="E76" s="104">
        <f>VLOOKUP(C76,Punten!$C$3:$AD$224,11,0)</f>
        <v>53.924000000000007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290</v>
      </c>
      <c r="C78" s="98" t="s">
        <v>8</v>
      </c>
      <c r="D78" s="104">
        <f>VLOOKUP(B78,Punten!$C$3:$AD$224,12,0)</f>
        <v>63.083999999999996</v>
      </c>
      <c r="E78" s="104">
        <f>VLOOKUP(C78,Punten!$C$3:$AD$224,12,0)</f>
        <v>48.582999999999998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>
        <f>VLOOKUP(B79,Punten!$C$3:$AD$224,12,0)</f>
        <v>59.75</v>
      </c>
      <c r="E79" s="104">
        <f>VLOOKUP(C79,Punten!$C$3:$AD$224,12,0)</f>
        <v>66.570999999999998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>
        <f>VLOOKUP(B80,Punten!$C$3:$AD$224,12,0)</f>
        <v>71.882000000000005</v>
      </c>
      <c r="E80" s="104">
        <f>VLOOKUP(C80,Punten!$C$3:$AD$224,12,0)</f>
        <v>53.023000000000003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>
        <f>VLOOKUP(B81,Punten!$C$3:$AD$224,12,0)</f>
        <v>52.470999999999997</v>
      </c>
      <c r="E81" s="104">
        <f>VLOOKUP(C81,Punten!$C$3:$AD$224,12,0)</f>
        <v>50.755000000000003</v>
      </c>
    </row>
    <row r="82" spans="1:5" ht="15" customHeight="1" x14ac:dyDescent="0.3">
      <c r="A82" s="96">
        <v>45987</v>
      </c>
      <c r="B82" s="98" t="s">
        <v>6</v>
      </c>
      <c r="C82" s="98" t="s">
        <v>291</v>
      </c>
      <c r="D82" s="104">
        <f>VLOOKUP(B82,Punten!$C$3:$AD$224,12,0)</f>
        <v>53.038000000000004</v>
      </c>
      <c r="E82" s="104">
        <f>VLOOKUP(C82,Punten!$C$3:$AD$224,12,0)</f>
        <v>54.859000000000009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>
        <f>VLOOKUP(B83,Punten!$C$3:$AD$224,12,0)</f>
        <v>62.913999999999994</v>
      </c>
      <c r="E83" s="104">
        <f>VLOOKUP(C83,Punten!$C$3:$AD$224,12,0)</f>
        <v>46.372999999999998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>
        <f>VLOOKUP(B84,Punten!$C$3:$AD$224,12,0)</f>
        <v>52.161999999999999</v>
      </c>
      <c r="E84" s="104">
        <f>VLOOKUP(C84,Punten!$C$3:$AD$224,12,0)</f>
        <v>41.629000000000005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290</v>
      </c>
      <c r="D86" s="104">
        <f>VLOOKUP(B86,Punten!$C$3:$AD$224,13,0)</f>
        <v>47.802</v>
      </c>
      <c r="E86" s="104">
        <f>VLOOKUP(C86,Punten!$C$3:$AD$224,13,0)</f>
        <v>57.427000000000007</v>
      </c>
    </row>
    <row r="87" spans="1:5" ht="15" customHeight="1" x14ac:dyDescent="0.3">
      <c r="A87" s="170">
        <v>45992</v>
      </c>
      <c r="B87" s="171" t="s">
        <v>14</v>
      </c>
      <c r="C87" s="171" t="s">
        <v>10</v>
      </c>
      <c r="D87" s="104">
        <f>VLOOKUP(B87,Punten!$C$3:$AD$224,13,0)</f>
        <v>60.125</v>
      </c>
      <c r="E87" s="104">
        <f>VLOOKUP(C87,Punten!$C$3:$AD$224,13,0)</f>
        <v>67.561000000000007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>
        <f>VLOOKUP(B88,Punten!$C$3:$AD$224,13,0)</f>
        <v>69.228999999999999</v>
      </c>
      <c r="E88" s="104">
        <f>VLOOKUP(C88,Punten!$C$3:$AD$224,13,0)</f>
        <v>66.668999999999997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>
        <f>VLOOKUP(B89,Punten!$C$3:$AD$224,13,0)</f>
        <v>71.817000000000007</v>
      </c>
      <c r="E89" s="104">
        <f>VLOOKUP(C89,Punten!$C$3:$AD$224,13,0)</f>
        <v>52.012999999999998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>
        <f>VLOOKUP(B90,Punten!$C$3:$AD$224,13,0)</f>
        <v>61.230999999999995</v>
      </c>
      <c r="E90" s="104">
        <f>VLOOKUP(C90,Punten!$C$3:$AD$224,13,0)</f>
        <v>68.407000000000011</v>
      </c>
    </row>
    <row r="91" spans="1:5" ht="15" customHeight="1" x14ac:dyDescent="0.3">
      <c r="A91" s="96">
        <v>45993</v>
      </c>
      <c r="B91" s="98" t="s">
        <v>291</v>
      </c>
      <c r="C91" s="98" t="s">
        <v>15</v>
      </c>
      <c r="D91" s="104">
        <f>VLOOKUP(B91,Punten!$C$3:$AD$224,13,0)</f>
        <v>65.5</v>
      </c>
      <c r="E91" s="104">
        <f>VLOOKUP(C91,Punten!$C$3:$AD$224,13,0)</f>
        <v>61.686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>
        <f>VLOOKUP(B92,Punten!$C$3:$AD$224,13,0)</f>
        <v>42.208999999999996</v>
      </c>
      <c r="E92" s="104">
        <f>VLOOKUP(C92,Punten!$C$3:$AD$224,13,0)</f>
        <v>67.533000000000001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>
        <f>VLOOKUP(B94,Punten!$C$3:$AD$224,14,0)</f>
        <v>61.689</v>
      </c>
      <c r="E94" s="104">
        <f>VLOOKUP(C94,Punten!$C$3:$AD$224,14,0)</f>
        <v>65.843999999999994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>
        <f>VLOOKUP(B95,Punten!$C$3:$AD$224,14,0)</f>
        <v>59.680999999999997</v>
      </c>
      <c r="E95" s="104">
        <f>VLOOKUP(C95,Punten!$C$3:$AD$224,14,0)</f>
        <v>53.382999999999996</v>
      </c>
    </row>
    <row r="96" spans="1:5" ht="15" customHeight="1" x14ac:dyDescent="0.3">
      <c r="A96" s="96">
        <v>45999</v>
      </c>
      <c r="B96" s="98" t="s">
        <v>290</v>
      </c>
      <c r="C96" s="98" t="s">
        <v>16</v>
      </c>
      <c r="D96" s="104">
        <f>VLOOKUP(B96,Punten!$C$3:$AD$224,14,0)</f>
        <v>46.090999999999994</v>
      </c>
      <c r="E96" s="104">
        <f>VLOOKUP(C96,Punten!$C$3:$AD$224,14,0)</f>
        <v>43.292000000000002</v>
      </c>
    </row>
    <row r="97" spans="1:7" ht="15" customHeight="1" x14ac:dyDescent="0.3">
      <c r="A97" s="97">
        <v>46000</v>
      </c>
      <c r="B97" s="98" t="s">
        <v>291</v>
      </c>
      <c r="C97" s="98" t="s">
        <v>9</v>
      </c>
      <c r="D97" s="104">
        <f>VLOOKUP(B97,Punten!$C$3:$AD$224,14,0)</f>
        <v>74.555999999999997</v>
      </c>
      <c r="E97" s="104">
        <f>VLOOKUP(C97,Punten!$C$3:$AD$224,14,0)</f>
        <v>60.03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>
        <f>VLOOKUP(B98,Punten!$C$3:$AD$224,14,0)</f>
        <v>54.676000000000002</v>
      </c>
      <c r="E98" s="104">
        <f>VLOOKUP(C98,Punten!$C$3:$AD$224,14,0)</f>
        <v>75.402000000000001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>
        <f>VLOOKUP(B99,Punten!$C$3:$AD$224,14,0)</f>
        <v>53.646999999999998</v>
      </c>
      <c r="E99" s="104">
        <f>VLOOKUP(C99,Punten!$C$3:$AD$224,14,0)</f>
        <v>53.763999999999996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>
        <f>VLOOKUP(B100,Punten!$C$3:$AD$224,14,0)</f>
        <v>56.548999999999999</v>
      </c>
      <c r="E100" s="104">
        <f>VLOOKUP(C100,Punten!$C$3:$AD$224,14,0)</f>
        <v>56.846999999999994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>
        <f>VLOOKUP(B102,Punten!$C$3:$AD$224,15,0)</f>
        <v>53.099000000000004</v>
      </c>
      <c r="E102" s="104">
        <f>VLOOKUP(C102,Punten!$C$3:$AD$224,15,0)</f>
        <v>57.088000000000001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>
        <f>VLOOKUP(B103,Punten!$C$3:$AD$224,15,0)</f>
        <v>54.387</v>
      </c>
      <c r="E103" s="104">
        <f>VLOOKUP(C103,Punten!$C$3:$AD$224,15,0)</f>
        <v>73.274000000000001</v>
      </c>
    </row>
    <row r="104" spans="1:7" ht="15" customHeight="1" x14ac:dyDescent="0.3">
      <c r="A104" s="170">
        <v>46006</v>
      </c>
      <c r="B104" s="171" t="s">
        <v>290</v>
      </c>
      <c r="C104" s="171" t="s">
        <v>12</v>
      </c>
      <c r="D104" s="104">
        <f>VLOOKUP(B104,Punten!$C$3:$AD$224,15,0)</f>
        <v>56.138999999999996</v>
      </c>
      <c r="E104" s="104">
        <f>VLOOKUP(C104,Punten!$C$3:$AD$224,15,0)</f>
        <v>55.677</v>
      </c>
    </row>
    <row r="105" spans="1:7" ht="15" customHeight="1" x14ac:dyDescent="0.3">
      <c r="A105" s="96">
        <v>46007</v>
      </c>
      <c r="B105" s="98" t="s">
        <v>16</v>
      </c>
      <c r="C105" s="98" t="s">
        <v>11</v>
      </c>
      <c r="D105" s="104">
        <f>VLOOKUP(B105,Punten!$C$3:$AD$224,15,0)</f>
        <v>51.216000000000001</v>
      </c>
      <c r="E105" s="104">
        <f>VLOOKUP(C105,Punten!$C$3:$AD$224,15,0)</f>
        <v>81.981999999999999</v>
      </c>
    </row>
    <row r="106" spans="1:7" ht="15" customHeight="1" x14ac:dyDescent="0.3">
      <c r="A106" s="96">
        <v>46007</v>
      </c>
      <c r="B106" s="98" t="s">
        <v>8</v>
      </c>
      <c r="C106" s="98" t="s">
        <v>291</v>
      </c>
      <c r="D106" s="104">
        <f>VLOOKUP(B106,Punten!$C$3:$AD$224,15,0)</f>
        <v>82.206000000000003</v>
      </c>
      <c r="E106" s="104">
        <f>VLOOKUP(C106,Punten!$C$3:$AD$224,15,0)</f>
        <v>64.019000000000005</v>
      </c>
    </row>
    <row r="107" spans="1:7" ht="15" customHeight="1" x14ac:dyDescent="0.3">
      <c r="A107" s="96">
        <v>46007</v>
      </c>
      <c r="B107" s="98" t="s">
        <v>9</v>
      </c>
      <c r="C107" s="105" t="s">
        <v>15</v>
      </c>
      <c r="D107" s="104">
        <f>VLOOKUP(B107,Punten!$C$3:$AD$224,15,0)</f>
        <v>45.399000000000001</v>
      </c>
      <c r="E107" s="104">
        <f>VLOOKUP(C107,Punten!$C$3:$AD$224,15,0)</f>
        <v>64.419000000000011</v>
      </c>
    </row>
    <row r="108" spans="1:7" ht="15" customHeight="1" x14ac:dyDescent="0.3">
      <c r="A108" s="119">
        <v>46009</v>
      </c>
      <c r="B108" s="98" t="s">
        <v>10</v>
      </c>
      <c r="C108" s="98" t="s">
        <v>13</v>
      </c>
      <c r="D108" s="104">
        <f>VLOOKUP(B108,Punten!$C$3:$AD$224,15,0)</f>
        <v>57.758000000000003</v>
      </c>
      <c r="E108" s="104">
        <f>VLOOKUP(C108,Punten!$C$3:$AD$224,15,0)</f>
        <v>65.793000000000006</v>
      </c>
    </row>
    <row r="109" spans="1:7" s="61" customFormat="1" ht="15.6" customHeight="1" x14ac:dyDescent="0.3">
      <c r="A109" s="292"/>
      <c r="B109" s="286"/>
      <c r="C109" s="169"/>
      <c r="E109" s="62"/>
      <c r="F109" s="62"/>
      <c r="G109" s="62"/>
    </row>
    <row r="110" spans="1:7" ht="22.2" customHeight="1" x14ac:dyDescent="0.3">
      <c r="A110" s="296" t="s">
        <v>286</v>
      </c>
      <c r="B110" s="296"/>
      <c r="C110" s="296"/>
      <c r="D110" s="296"/>
      <c r="E110" s="108"/>
    </row>
    <row r="111" spans="1:7" ht="15" customHeight="1" x14ac:dyDescent="0.3">
      <c r="A111" s="295" t="s">
        <v>287</v>
      </c>
      <c r="B111" s="295"/>
      <c r="C111" s="295"/>
      <c r="D111" s="295"/>
      <c r="E111" s="109" t="s">
        <v>288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10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10" ht="13.95" customHeight="1" x14ac:dyDescent="0.3">
      <c r="A114" s="96"/>
      <c r="B114" s="110"/>
      <c r="C114" s="110"/>
      <c r="D114" s="108"/>
      <c r="E114" s="108"/>
    </row>
    <row r="115" spans="1:10" ht="15" customHeight="1" x14ac:dyDescent="0.3">
      <c r="A115" s="97">
        <v>46027</v>
      </c>
      <c r="B115" s="98" t="s">
        <v>7</v>
      </c>
      <c r="C115" s="98" t="s">
        <v>13</v>
      </c>
      <c r="D115" s="104">
        <f>VLOOKUP(B115,Punten!$C$3:$AD$224,16,0)</f>
        <v>64.424000000000007</v>
      </c>
      <c r="E115" s="104">
        <f>VLOOKUP(C115,Punten!$C$3:$AD$224,16,0)</f>
        <v>60.944000000000003</v>
      </c>
    </row>
    <row r="116" spans="1:10" ht="15" customHeight="1" x14ac:dyDescent="0.3">
      <c r="A116" s="97">
        <v>46028</v>
      </c>
      <c r="B116" s="98" t="s">
        <v>8</v>
      </c>
      <c r="C116" s="98" t="s">
        <v>290</v>
      </c>
      <c r="D116" s="104">
        <f>VLOOKUP(B116,Punten!$C$3:$AD$224,16,0)</f>
        <v>50.507000000000005</v>
      </c>
      <c r="E116" s="104">
        <f>VLOOKUP(C116,Punten!$C$3:$AD$224,16,0)</f>
        <v>63.698999999999998</v>
      </c>
    </row>
    <row r="117" spans="1:10" ht="15" customHeight="1" x14ac:dyDescent="0.3">
      <c r="A117" s="97">
        <v>46028</v>
      </c>
      <c r="B117" s="98" t="s">
        <v>9</v>
      </c>
      <c r="C117" s="98" t="s">
        <v>11</v>
      </c>
      <c r="D117" s="104">
        <f>VLOOKUP(B117,Punten!$C$3:$AD$224,16,0)</f>
        <v>53.446999999999996</v>
      </c>
      <c r="E117" s="104">
        <f>VLOOKUP(C117,Punten!$C$3:$AD$224,16,0)</f>
        <v>68.793999999999997</v>
      </c>
    </row>
    <row r="118" spans="1:10" ht="15" customHeight="1" x14ac:dyDescent="0.3">
      <c r="A118" s="97">
        <v>46028</v>
      </c>
      <c r="B118" s="98" t="s">
        <v>291</v>
      </c>
      <c r="C118" s="98" t="s">
        <v>6</v>
      </c>
      <c r="D118" s="104">
        <f>VLOOKUP(B118,Punten!$C$3:$AD$224,16,0)</f>
        <v>57.353000000000002</v>
      </c>
      <c r="E118" s="104">
        <f>VLOOKUP(C118,Punten!$C$3:$AD$224,16,0)</f>
        <v>59.261999999999993</v>
      </c>
    </row>
    <row r="119" spans="1:10" ht="15" customHeight="1" x14ac:dyDescent="0.3">
      <c r="A119" s="97">
        <v>46028</v>
      </c>
      <c r="B119" s="105" t="s">
        <v>16</v>
      </c>
      <c r="C119" s="98" t="s">
        <v>5</v>
      </c>
      <c r="D119" s="104">
        <f>VLOOKUP(B119,Punten!$C$3:$AD$224,16,0)</f>
        <v>67.884999999999991</v>
      </c>
      <c r="E119" s="104">
        <f>VLOOKUP(C119,Punten!$C$3:$AD$224,16,0)</f>
        <v>63.105000000000004</v>
      </c>
    </row>
    <row r="120" spans="1:10" ht="15" customHeight="1" x14ac:dyDescent="0.3">
      <c r="A120" s="97">
        <v>46030</v>
      </c>
      <c r="B120" s="98" t="s">
        <v>10</v>
      </c>
      <c r="C120" s="98" t="s">
        <v>15</v>
      </c>
      <c r="D120" s="104">
        <f>VLOOKUP(B120,Punten!$C$3:$AD$224,16,0)</f>
        <v>62.791000000000004</v>
      </c>
      <c r="E120" s="104">
        <f>VLOOKUP(C120,Punten!$C$3:$AD$224,16,0)</f>
        <v>68.548000000000002</v>
      </c>
    </row>
    <row r="121" spans="1:10" ht="15" customHeight="1" x14ac:dyDescent="0.3">
      <c r="A121" s="97">
        <v>46031</v>
      </c>
      <c r="B121" s="98" t="s">
        <v>12</v>
      </c>
      <c r="C121" s="98" t="s">
        <v>14</v>
      </c>
      <c r="D121" s="104">
        <f>VLOOKUP(B121,Punten!$C$3:$AD$224,16,0)</f>
        <v>49.783000000000001</v>
      </c>
      <c r="E121" s="104">
        <f>VLOOKUP(C121,Punten!$C$3:$AD$224,16,0)</f>
        <v>47.05</v>
      </c>
    </row>
    <row r="122" spans="1:10" ht="13.95" customHeight="1" x14ac:dyDescent="0.3">
      <c r="A122" s="97"/>
      <c r="B122" s="98"/>
      <c r="C122" s="98"/>
      <c r="D122" s="104"/>
      <c r="E122" s="104"/>
    </row>
    <row r="123" spans="1:10" ht="15" customHeight="1" x14ac:dyDescent="0.3">
      <c r="A123" s="97">
        <v>46034</v>
      </c>
      <c r="B123" s="98" t="s">
        <v>290</v>
      </c>
      <c r="C123" s="98" t="s">
        <v>7</v>
      </c>
      <c r="D123" s="104" t="str">
        <f>VLOOKUP(B123,Punten!$C$3:$AD$224,17,0)</f>
        <v xml:space="preserve"> </v>
      </c>
      <c r="E123" s="104" t="str">
        <f>VLOOKUP(C123,Punten!$C$3:$AD$224,17,0)</f>
        <v xml:space="preserve"> </v>
      </c>
      <c r="J123" t="s">
        <v>127</v>
      </c>
    </row>
    <row r="124" spans="1:10" ht="15" customHeight="1" x14ac:dyDescent="0.3">
      <c r="A124" s="97">
        <v>46034</v>
      </c>
      <c r="B124" s="98" t="s">
        <v>11</v>
      </c>
      <c r="C124" s="98" t="s">
        <v>8</v>
      </c>
      <c r="D124" s="104" t="str">
        <f>VLOOKUP(B124,Punten!$C$3:$AD$224,17,0)</f>
        <v xml:space="preserve"> </v>
      </c>
      <c r="E124" s="104" t="str">
        <f>VLOOKUP(C124,Punten!$C$3:$AD$224,17,0)</f>
        <v xml:space="preserve"> </v>
      </c>
    </row>
    <row r="125" spans="1:10" ht="15" customHeight="1" x14ac:dyDescent="0.3">
      <c r="A125" s="97">
        <v>46034</v>
      </c>
      <c r="B125" s="98" t="s">
        <v>15</v>
      </c>
      <c r="C125" s="98" t="s">
        <v>291</v>
      </c>
      <c r="D125" s="104" t="str">
        <f>VLOOKUP(B125,Punten!$C$3:$AD$224,17,0)</f>
        <v xml:space="preserve"> </v>
      </c>
      <c r="E125" s="104" t="str">
        <f>VLOOKUP(C125,Punten!$C$3:$AD$224,17,0)</f>
        <v xml:space="preserve"> </v>
      </c>
    </row>
    <row r="126" spans="1:10" ht="15" customHeight="1" x14ac:dyDescent="0.3">
      <c r="A126" s="97">
        <v>46036</v>
      </c>
      <c r="B126" s="98" t="s">
        <v>6</v>
      </c>
      <c r="C126" s="98" t="s">
        <v>9</v>
      </c>
      <c r="D126" s="104" t="str">
        <f>VLOOKUP(B126,Punten!$C$3:$AD$224,17,0)</f>
        <v xml:space="preserve"> </v>
      </c>
      <c r="E126" s="104" t="str">
        <f>VLOOKUP(C126,Punten!$C$3:$AD$224,17,0)</f>
        <v xml:space="preserve"> </v>
      </c>
    </row>
    <row r="127" spans="1:10" ht="15" customHeight="1" x14ac:dyDescent="0.3">
      <c r="A127" s="97">
        <v>46036</v>
      </c>
      <c r="B127" s="98" t="s">
        <v>5</v>
      </c>
      <c r="C127" s="98" t="s">
        <v>12</v>
      </c>
      <c r="D127" s="104" t="str">
        <f>VLOOKUP(B127,Punten!$C$3:$AD$224,17,0)</f>
        <v xml:space="preserve"> </v>
      </c>
      <c r="E127" s="104" t="str">
        <f>VLOOKUP(C127,Punten!$C$3:$AD$224,17,0)</f>
        <v xml:space="preserve"> </v>
      </c>
    </row>
    <row r="128" spans="1:10" ht="15" customHeight="1" x14ac:dyDescent="0.3">
      <c r="A128" s="170">
        <v>46037</v>
      </c>
      <c r="B128" s="171" t="s">
        <v>10</v>
      </c>
      <c r="C128" s="171" t="s">
        <v>14</v>
      </c>
      <c r="D128" s="104" t="str">
        <f>VLOOKUP(B128,Punten!$C$3:$AD$224,17,0)</f>
        <v xml:space="preserve"> </v>
      </c>
      <c r="E128" s="104" t="str">
        <f>VLOOKUP(C128,Punten!$C$3:$AD$224,17,0)</f>
        <v xml:space="preserve"> 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 t="str">
        <f>VLOOKUP(B129,Punten!$C$3:$AD$224,17,0)</f>
        <v xml:space="preserve"> </v>
      </c>
      <c r="E129" s="104" t="str">
        <f>VLOOKUP(C129,Punten!$C$3:$AD$224,17,0)</f>
        <v xml:space="preserve"> 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 t="str">
        <f>VLOOKUP(B131,Punten!$C$3:$AD$224,18,0)</f>
        <v xml:space="preserve"> </v>
      </c>
      <c r="E131" s="104" t="str">
        <f>VLOOKUP(C131,Punten!$C$3:$AD$224,18,0)</f>
        <v xml:space="preserve"> 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 t="str">
        <f>VLOOKUP(B132,Punten!$C$3:$AD$224,18,0)</f>
        <v xml:space="preserve"> </v>
      </c>
      <c r="E132" s="104" t="str">
        <f>VLOOKUP(C132,Punten!$C$3:$AD$224,18,0)</f>
        <v xml:space="preserve"> </v>
      </c>
    </row>
    <row r="133" spans="1:5" ht="15" customHeight="1" x14ac:dyDescent="0.3">
      <c r="A133" s="96">
        <v>46042</v>
      </c>
      <c r="B133" s="98" t="s">
        <v>16</v>
      </c>
      <c r="C133" s="98" t="s">
        <v>290</v>
      </c>
      <c r="D133" s="104" t="str">
        <f>VLOOKUP(B133,Punten!$C$3:$AD$224,18,0)</f>
        <v xml:space="preserve"> </v>
      </c>
      <c r="E133" s="104" t="str">
        <f>VLOOKUP(C133,Punten!$C$3:$AD$224,18,0)</f>
        <v xml:space="preserve"> </v>
      </c>
    </row>
    <row r="134" spans="1:5" ht="15" customHeight="1" x14ac:dyDescent="0.3">
      <c r="A134" s="96">
        <v>46042</v>
      </c>
      <c r="B134" s="98" t="s">
        <v>9</v>
      </c>
      <c r="C134" s="98" t="s">
        <v>291</v>
      </c>
      <c r="D134" s="104" t="str">
        <f>VLOOKUP(B134,Punten!$C$3:$AD$224,18,0)</f>
        <v xml:space="preserve"> </v>
      </c>
      <c r="E134" s="104" t="str">
        <f>VLOOKUP(C134,Punten!$C$3:$AD$224,18,0)</f>
        <v xml:space="preserve"> 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 t="str">
        <f>VLOOKUP(B135,Punten!$C$3:$AD$224,18,0)</f>
        <v xml:space="preserve"> </v>
      </c>
      <c r="E135" s="104" t="str">
        <f>VLOOKUP(C135,Punten!$C$3:$AD$224,18,0)</f>
        <v xml:space="preserve"> 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 t="str">
        <f>VLOOKUP(B136,Punten!$C$3:$AD$224,18,0)</f>
        <v xml:space="preserve"> </v>
      </c>
      <c r="E136" s="104" t="str">
        <f>VLOOKUP(C136,Punten!$C$3:$AD$224,18,0)</f>
        <v xml:space="preserve"> 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 t="str">
        <f>VLOOKUP(B137,Punten!$C$3:$AD$224,18,0)</f>
        <v xml:space="preserve"> </v>
      </c>
      <c r="E137" s="104" t="str">
        <f>VLOOKUP(C137,Punten!$C$3:$AD$224,18,0)</f>
        <v xml:space="preserve"> 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15</v>
      </c>
      <c r="C139" s="98" t="s">
        <v>9</v>
      </c>
      <c r="D139" s="104" t="str">
        <f>VLOOKUP(B139,Punten!$C$3:$AD$224,19,0)</f>
        <v xml:space="preserve"> </v>
      </c>
      <c r="E139" s="104" t="str">
        <f>VLOOKUP(C139,Punten!$C$3:$AD$224,19,0)</f>
        <v xml:space="preserve"> </v>
      </c>
    </row>
    <row r="140" spans="1:5" ht="15" customHeight="1" x14ac:dyDescent="0.3">
      <c r="A140" s="170">
        <v>46048</v>
      </c>
      <c r="B140" s="171" t="s">
        <v>12</v>
      </c>
      <c r="C140" s="171" t="s">
        <v>290</v>
      </c>
      <c r="D140" s="104" t="str">
        <f>VLOOKUP(B140,Punten!$C$3:$AD$224,19,0)</f>
        <v xml:space="preserve"> </v>
      </c>
      <c r="E140" s="104" t="str">
        <f>VLOOKUP(C140,Punten!$C$3:$AD$224,19,0)</f>
        <v xml:space="preserve"> </v>
      </c>
    </row>
    <row r="141" spans="1:5" ht="15" customHeight="1" x14ac:dyDescent="0.3">
      <c r="A141" s="97">
        <v>46049</v>
      </c>
      <c r="B141" s="105" t="s">
        <v>291</v>
      </c>
      <c r="C141" s="98" t="s">
        <v>8</v>
      </c>
      <c r="D141" s="104" t="str">
        <f>VLOOKUP(B141,Punten!$C$3:$AD$224,19,0)</f>
        <v xml:space="preserve"> </v>
      </c>
      <c r="E141" s="104" t="str">
        <f>VLOOKUP(C141,Punten!$C$3:$AD$224,19,0)</f>
        <v xml:space="preserve"> </v>
      </c>
    </row>
    <row r="142" spans="1:5" ht="15" customHeight="1" x14ac:dyDescent="0.3">
      <c r="A142" s="97">
        <v>46050</v>
      </c>
      <c r="B142" s="98" t="s">
        <v>6</v>
      </c>
      <c r="C142" s="98" t="s">
        <v>7</v>
      </c>
      <c r="D142" s="104" t="str">
        <f>VLOOKUP(B142,Punten!$C$3:$AD$224,19,0)</f>
        <v xml:space="preserve"> </v>
      </c>
      <c r="E142" s="104" t="str">
        <f>VLOOKUP(C142,Punten!$C$3:$AD$224,19,0)</f>
        <v xml:space="preserve"> </v>
      </c>
    </row>
    <row r="143" spans="1:5" ht="15" customHeight="1" x14ac:dyDescent="0.3">
      <c r="A143" s="97">
        <v>46050</v>
      </c>
      <c r="B143" s="98" t="s">
        <v>5</v>
      </c>
      <c r="C143" s="98" t="s">
        <v>14</v>
      </c>
      <c r="D143" s="104" t="str">
        <f>VLOOKUP(B143,Punten!$C$3:$AD$224,19,0)</f>
        <v xml:space="preserve"> </v>
      </c>
      <c r="E143" s="104" t="str">
        <f>VLOOKUP(C143,Punten!$C$3:$AD$224,19,0)</f>
        <v xml:space="preserve"> </v>
      </c>
    </row>
    <row r="144" spans="1:5" ht="15" customHeight="1" x14ac:dyDescent="0.3">
      <c r="A144" s="118">
        <v>46051</v>
      </c>
      <c r="B144" s="121" t="s">
        <v>11</v>
      </c>
      <c r="C144" s="121" t="s">
        <v>16</v>
      </c>
      <c r="D144" s="104" t="str">
        <f>VLOOKUP(B144,Punten!$C$3:$AD$224,19,0)</f>
        <v xml:space="preserve"> </v>
      </c>
      <c r="E144" s="104" t="str">
        <f>VLOOKUP(C144,Punten!$C$3:$AD$224,19,0)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VLOOKUP(B145,Punten!$C$3:$AD$224,19,0)</f>
        <v xml:space="preserve"> </v>
      </c>
      <c r="E145" s="104" t="str">
        <f>VLOOKUP(C145,Punten!$C$3:$AD$224,19,0)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290</v>
      </c>
      <c r="C147" s="98" t="s">
        <v>6</v>
      </c>
      <c r="D147" s="104" t="str">
        <f>VLOOKUP(B147,Punten!$C$3:$AD$224,20,0)</f>
        <v xml:space="preserve"> </v>
      </c>
      <c r="E147" s="104" t="str">
        <f>VLOOKUP(C147,Punten!$C$3:$AD$224,20,0)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VLOOKUP(B148,Punten!$C$3:$AD$224,20,0)</f>
        <v xml:space="preserve"> </v>
      </c>
      <c r="E148" s="104" t="str">
        <f>VLOOKUP(C148,Punten!$C$3:$AD$224,20,0)</f>
        <v xml:space="preserve"> </v>
      </c>
    </row>
    <row r="149" spans="1:5" ht="15" customHeight="1" x14ac:dyDescent="0.3">
      <c r="A149" s="170">
        <v>46063</v>
      </c>
      <c r="B149" s="208" t="s">
        <v>8</v>
      </c>
      <c r="C149" s="171" t="s">
        <v>14</v>
      </c>
      <c r="D149" s="104" t="str">
        <f>VLOOKUP(B149,Punten!$C$3:$AD$224,20,0)</f>
        <v xml:space="preserve"> </v>
      </c>
      <c r="E149" s="104" t="str">
        <f>VLOOKUP(C149,Punten!$C$3:$AD$224,20,0)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VLOOKUP(B150,Punten!$C$3:$AD$224,20,0)</f>
        <v xml:space="preserve"> </v>
      </c>
      <c r="E150" s="104" t="str">
        <f>VLOOKUP(C150,Punten!$C$3:$AD$224,20,0)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291</v>
      </c>
      <c r="D151" s="104" t="str">
        <f>VLOOKUP(B151,Punten!$C$3:$AD$224,20,0)</f>
        <v xml:space="preserve"> </v>
      </c>
      <c r="E151" s="104" t="str">
        <f>VLOOKUP(C151,Punten!$C$3:$AD$224,20,0)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VLOOKUP(B152,Punten!$C$3:$AD$224,20,0)</f>
        <v xml:space="preserve"> </v>
      </c>
      <c r="E152" s="104" t="str">
        <f>VLOOKUP(C152,Punten!$C$3:$AD$224,20,0)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VLOOKUP(B153,Punten!$C$3:$AD$224,20,0)</f>
        <v xml:space="preserve"> </v>
      </c>
      <c r="E153" s="104" t="str">
        <f>VLOOKUP(C153,Punten!$C$3:$AD$224,20,0)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VLOOKUP(B155,Punten!$C$3:$AD$224,21,0)</f>
        <v xml:space="preserve"> </v>
      </c>
      <c r="E155" s="104" t="str">
        <f>VLOOKUP(C155,Punten!$C$3:$AD$224,21,0)</f>
        <v xml:space="preserve"> </v>
      </c>
    </row>
    <row r="156" spans="1:5" ht="15" customHeight="1" x14ac:dyDescent="0.3">
      <c r="A156" s="97">
        <v>46077</v>
      </c>
      <c r="B156" s="98" t="s">
        <v>291</v>
      </c>
      <c r="C156" s="98" t="s">
        <v>290</v>
      </c>
      <c r="D156" s="104" t="str">
        <f>VLOOKUP(B156,Punten!$C$3:$AD$224,21,0)</f>
        <v xml:space="preserve"> </v>
      </c>
      <c r="E156" s="104" t="str">
        <f>VLOOKUP(C156,Punten!$C$3:$AD$224,21,0)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VLOOKUP(B157,Punten!$C$3:$AD$224,21,0)</f>
        <v xml:space="preserve"> </v>
      </c>
      <c r="E157" s="104" t="str">
        <f>VLOOKUP(C157,Punten!$C$3:$AD$224,21,0)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VLOOKUP(B158,Punten!$C$3:$AD$224,21,0)</f>
        <v xml:space="preserve"> </v>
      </c>
      <c r="E158" s="104" t="str">
        <f>VLOOKUP(C158,Punten!$C$3:$AD$224,21,0)</f>
        <v xml:space="preserve"> </v>
      </c>
    </row>
    <row r="159" spans="1:5" ht="15" customHeight="1" x14ac:dyDescent="0.3">
      <c r="A159" s="217">
        <v>46078</v>
      </c>
      <c r="B159" s="208" t="s">
        <v>5</v>
      </c>
      <c r="C159" s="171" t="s">
        <v>8</v>
      </c>
      <c r="D159" s="104" t="str">
        <f>VLOOKUP(B159,Punten!$C$3:$AD$224,21,0)</f>
        <v xml:space="preserve"> </v>
      </c>
      <c r="E159" s="104" t="str">
        <f>VLOOKUP(C159,Punten!$C$3:$AD$224,21,0)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VLOOKUP(B160,Punten!$C$3:$AD$224,21,0)</f>
        <v xml:space="preserve"> </v>
      </c>
      <c r="E160" s="104" t="str">
        <f>VLOOKUP(C160,Punten!$C$3:$AD$224,21,0)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VLOOKUP(B161,Punten!$C$3:$AD$224,21,0)</f>
        <v xml:space="preserve"> </v>
      </c>
      <c r="E161" s="104" t="str">
        <f>VLOOKUP(C161,Punten!$C$3:$AD$224,21,0)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VLOOKUP(B163,Punten!$C$3:$AD$224,22,0)</f>
        <v xml:space="preserve"> </v>
      </c>
      <c r="E163" s="104" t="str">
        <f>VLOOKUP(C163,Punten!$C$3:$AD$224,22,0)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VLOOKUP(B164,Punten!$C$3:$AD$224,22,0)</f>
        <v xml:space="preserve"> </v>
      </c>
      <c r="E164" s="104" t="str">
        <f>VLOOKUP(C164,Punten!$C$3:$AD$224,22,0)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291</v>
      </c>
      <c r="D165" s="104" t="str">
        <f>VLOOKUP(B165,Punten!$C$3:$AD$224,22,0)</f>
        <v xml:space="preserve"> </v>
      </c>
      <c r="E165" s="104" t="str">
        <f>VLOOKUP(C165,Punten!$C$3:$AD$224,22,0)</f>
        <v xml:space="preserve"> </v>
      </c>
    </row>
    <row r="166" spans="1:5" ht="15" customHeight="1" x14ac:dyDescent="0.3">
      <c r="A166" s="97">
        <v>46090</v>
      </c>
      <c r="B166" s="98" t="s">
        <v>290</v>
      </c>
      <c r="C166" s="98" t="s">
        <v>9</v>
      </c>
      <c r="D166" s="104" t="str">
        <f>VLOOKUP(B166,Punten!$C$3:$AD$224,22,0)</f>
        <v xml:space="preserve"> </v>
      </c>
      <c r="E166" s="104" t="str">
        <f>VLOOKUP(C166,Punten!$C$3:$AD$224,22,0)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VLOOKUP(B167,Punten!$C$3:$AD$224,22,0)</f>
        <v xml:space="preserve"> </v>
      </c>
      <c r="E167" s="104" t="str">
        <f>VLOOKUP(C167,Punten!$C$3:$AD$224,22,0)</f>
        <v xml:space="preserve"> </v>
      </c>
    </row>
    <row r="168" spans="1:5" ht="15" customHeight="1" x14ac:dyDescent="0.3">
      <c r="A168" s="170">
        <v>46091</v>
      </c>
      <c r="B168" s="171" t="s">
        <v>8</v>
      </c>
      <c r="C168" s="171" t="s">
        <v>13</v>
      </c>
      <c r="D168" s="104" t="str">
        <f>VLOOKUP(B168,Punten!$C$3:$AD$224,22,0)</f>
        <v xml:space="preserve"> </v>
      </c>
      <c r="E168" s="104" t="str">
        <f>VLOOKUP(C168,Punten!$C$3:$AD$224,22,0)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VLOOKUP(B169,Punten!$C$3:$AD$224,22,0)</f>
        <v xml:space="preserve"> </v>
      </c>
      <c r="E169" s="104" t="str">
        <f>VLOOKUP(C169,Punten!$C$3:$AD$224,22,0)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291</v>
      </c>
      <c r="D171" s="104" t="str">
        <f>VLOOKUP(B171,Punten!$C$3:$AD$224,23,0)</f>
        <v xml:space="preserve"> </v>
      </c>
      <c r="E171" s="104" t="str">
        <f>VLOOKUP(C171,Punten!$C$3:$AD$224,23,0)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VLOOKUP(B172,Punten!$C$3:$AD$224,23,0)</f>
        <v xml:space="preserve"> </v>
      </c>
      <c r="E172" s="104" t="str">
        <f>VLOOKUP(C172,Punten!$C$3:$AD$224,23,0)</f>
        <v xml:space="preserve"> </v>
      </c>
    </row>
    <row r="173" spans="1:5" ht="15" customHeight="1" x14ac:dyDescent="0.3">
      <c r="A173" s="96">
        <v>46104</v>
      </c>
      <c r="B173" s="98" t="s">
        <v>290</v>
      </c>
      <c r="C173" s="105" t="s">
        <v>10</v>
      </c>
      <c r="D173" s="104" t="str">
        <f>VLOOKUP(B173,Punten!$C$3:$AD$224,23,0)</f>
        <v xml:space="preserve"> </v>
      </c>
      <c r="E173" s="104" t="str">
        <f>VLOOKUP(C173,Punten!$C$3:$AD$224,23,0)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VLOOKUP(B174,Punten!$C$3:$AD$224,23,0)</f>
        <v xml:space="preserve"> </v>
      </c>
      <c r="E174" s="104" t="str">
        <f>VLOOKUP(C174,Punten!$C$3:$AD$224,23,0)</f>
        <v xml:space="preserve"> </v>
      </c>
    </row>
    <row r="175" spans="1:5" ht="15" customHeight="1" x14ac:dyDescent="0.3">
      <c r="A175" s="170">
        <v>46105</v>
      </c>
      <c r="B175" s="171" t="s">
        <v>8</v>
      </c>
      <c r="C175" s="171" t="s">
        <v>9</v>
      </c>
      <c r="D175" s="104" t="str">
        <f>VLOOKUP(B175,Punten!$C$3:$AD$224,23,0)</f>
        <v xml:space="preserve"> </v>
      </c>
      <c r="E175" s="104" t="str">
        <f>VLOOKUP(C175,Punten!$C$3:$AD$224,23,0)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VLOOKUP(B176,Punten!$C$3:$AD$224,23,0)</f>
        <v xml:space="preserve"> </v>
      </c>
      <c r="E176" s="104" t="str">
        <f>VLOOKUP(C176,Punten!$C$3:$AD$224,23,0)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VLOOKUP(B177,Punten!$C$3:$AD$224,23,0)</f>
        <v xml:space="preserve"> </v>
      </c>
      <c r="E177" s="104" t="str">
        <f>VLOOKUP(C177,Punten!$C$3:$AD$224,23,0)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290</v>
      </c>
      <c r="C179" s="121" t="s">
        <v>14</v>
      </c>
      <c r="D179" s="104" t="str">
        <f>VLOOKUP(B179,Punten!$C$3:$AD$224,24,0)</f>
        <v xml:space="preserve"> </v>
      </c>
      <c r="E179" s="104" t="str">
        <f>VLOOKUP(C179,Punten!$C$3:$AD$224,24,0)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VLOOKUP(B180,Punten!$C$3:$AD$224,24,0)</f>
        <v xml:space="preserve"> </v>
      </c>
      <c r="E180" s="104" t="str">
        <f>VLOOKUP(C180,Punten!$C$3:$AD$224,24,0)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VLOOKUP(B181,Punten!$C$3:$AD$224,24,0)</f>
        <v xml:space="preserve"> </v>
      </c>
      <c r="E181" s="104" t="str">
        <f>VLOOKUP(C181,Punten!$C$3:$AD$224,24,0)</f>
        <v xml:space="preserve"> </v>
      </c>
    </row>
    <row r="182" spans="1:5" ht="15" customHeight="1" x14ac:dyDescent="0.3">
      <c r="A182" s="96">
        <v>46119</v>
      </c>
      <c r="B182" s="98" t="s">
        <v>291</v>
      </c>
      <c r="C182" s="98" t="s">
        <v>16</v>
      </c>
      <c r="D182" s="104" t="str">
        <f>VLOOKUP(B182,Punten!$C$3:$AD$224,24,0)</f>
        <v xml:space="preserve"> </v>
      </c>
      <c r="E182" s="104" t="str">
        <f>VLOOKUP(C182,Punten!$C$3:$AD$224,24,0)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VLOOKUP(B183,Punten!$C$3:$AD$224,24,0)</f>
        <v xml:space="preserve"> </v>
      </c>
      <c r="E183" s="104" t="str">
        <f>VLOOKUP(C183,Punten!$C$3:$AD$224,24,0)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VLOOKUP(B184,Punten!$C$3:$AD$224,24,0)</f>
        <v xml:space="preserve"> </v>
      </c>
      <c r="E184" s="104" t="str">
        <f>VLOOKUP(C184,Punten!$C$3:$AD$224,24,0)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VLOOKUP(B185,Punten!$C$3:$AD$224,24,0)</f>
        <v xml:space="preserve"> </v>
      </c>
      <c r="E185" s="104" t="str">
        <f>VLOOKUP(C185,Punten!$C$3:$AD$224,24,0)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VLOOKUP(B187,Punten!$C$3:$AD$224,25,0)</f>
        <v xml:space="preserve"> </v>
      </c>
      <c r="E187" s="104" t="str">
        <f>VLOOKUP(C187,Punten!$C$3:$AD$224,25,0)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VLOOKUP(B188,Punten!$C$3:$AD$224,25,0)</f>
        <v xml:space="preserve"> </v>
      </c>
      <c r="E188" s="104" t="str">
        <f>VLOOKUP(C188,Punten!$C$3:$AD$224,25,0)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VLOOKUP(B189,Punten!$C$3:$AD$224,25,0)</f>
        <v xml:space="preserve"> </v>
      </c>
      <c r="E189" s="104" t="str">
        <f>VLOOKUP(C189,Punten!$C$3:$AD$224,25,0)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290</v>
      </c>
      <c r="D190" s="104" t="str">
        <f>VLOOKUP(B190,Punten!$C$3:$AD$224,25,0)</f>
        <v xml:space="preserve"> </v>
      </c>
      <c r="E190" s="104" t="str">
        <f>VLOOKUP(C190,Punten!$C$3:$AD$224,25,0)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VLOOKUP(B191,Punten!$C$3:$AD$224,25,0)</f>
        <v xml:space="preserve"> </v>
      </c>
      <c r="E191" s="104" t="str">
        <f>VLOOKUP(C191,Punten!$C$3:$AD$224,25,0)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VLOOKUP(B192,Punten!$C$3:$AD$224,25,0)</f>
        <v xml:space="preserve"> </v>
      </c>
      <c r="E192" s="104" t="str">
        <f>VLOOKUP(C192,Punten!$C$3:$AD$224,25,0)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291</v>
      </c>
      <c r="D193" s="104" t="str">
        <f>VLOOKUP(B193,Punten!$C$3:$AD$224,25,0)</f>
        <v xml:space="preserve"> </v>
      </c>
      <c r="E193" s="104" t="str">
        <f>VLOOKUP(C193,Punten!$C$3:$AD$224,25,0)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VLOOKUP(B195,Punten!$C$3:$AD$224,26,0)</f>
        <v xml:space="preserve"> </v>
      </c>
      <c r="E195" s="104" t="str">
        <f>VLOOKUP(C195,Punten!$C$3:$AD$224,26,0)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VLOOKUP(B196,Punten!$C$3:$AD$224,26,0)</f>
        <v xml:space="preserve"> </v>
      </c>
      <c r="E196" s="104" t="str">
        <f>VLOOKUP(C196,Punten!$C$3:$AD$224,26,0)</f>
        <v xml:space="preserve"> </v>
      </c>
    </row>
    <row r="197" spans="1:5" ht="15" customHeight="1" x14ac:dyDescent="0.3">
      <c r="A197" s="96">
        <v>46146</v>
      </c>
      <c r="B197" s="98" t="s">
        <v>290</v>
      </c>
      <c r="C197" s="105" t="s">
        <v>13</v>
      </c>
      <c r="D197" s="104" t="str">
        <f>VLOOKUP(B197,Punten!$C$3:$AD$224,26,0)</f>
        <v xml:space="preserve"> </v>
      </c>
      <c r="E197" s="104" t="str">
        <f>VLOOKUP(C197,Punten!$C$3:$AD$224,26,0)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VLOOKUP(B198,Punten!$C$3:$AD$224,26,0)</f>
        <v xml:space="preserve"> </v>
      </c>
      <c r="E198" s="104" t="str">
        <f>VLOOKUP(C198,Punten!$C$3:$AD$224,26,0)</f>
        <v xml:space="preserve"> </v>
      </c>
    </row>
    <row r="199" spans="1:5" ht="15" customHeight="1" x14ac:dyDescent="0.3">
      <c r="A199" s="96">
        <v>46147</v>
      </c>
      <c r="B199" s="98" t="s">
        <v>291</v>
      </c>
      <c r="C199" s="98" t="s">
        <v>10</v>
      </c>
      <c r="D199" s="104" t="str">
        <f>VLOOKUP(B199,Punten!$C$3:$AD$224,26,0)</f>
        <v xml:space="preserve"> </v>
      </c>
      <c r="E199" s="104" t="str">
        <f>VLOOKUP(C199,Punten!$C$3:$AD$224,26,0)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VLOOKUP(B200,Punten!$C$3:$AD$224,26,0)</f>
        <v xml:space="preserve"> </v>
      </c>
      <c r="E200" s="104" t="str">
        <f>VLOOKUP(C200,Punten!$C$3:$AD$224,26,0)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VLOOKUP(B201,Punten!$C$3:$AD$224,26,0)</f>
        <v xml:space="preserve"> </v>
      </c>
      <c r="E201" s="104" t="str">
        <f>VLOOKUP(C201,Punten!$C$3:$AD$224,26,0)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290</v>
      </c>
      <c r="D203" s="104" t="str">
        <f>VLOOKUP(B203,Punten!$C$3:$AD$224,27,0)</f>
        <v xml:space="preserve"> </v>
      </c>
      <c r="E203" s="104" t="str">
        <f>VLOOKUP(C203,Punten!$C$3:$AD$224,27,0)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VLOOKUP(B204,Punten!$C$3:$AD$224,27,0)</f>
        <v xml:space="preserve"> </v>
      </c>
      <c r="E204" s="104" t="str">
        <f>VLOOKUP(C204,Punten!$C$3:$AD$224,27,0)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291</v>
      </c>
      <c r="D205" s="104" t="str">
        <f>VLOOKUP(B205,Punten!$C$3:$AD$224,27,0)</f>
        <v xml:space="preserve"> </v>
      </c>
      <c r="E205" s="104" t="str">
        <f>VLOOKUP(C205,Punten!$C$3:$AD$224,27,0)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VLOOKUP(B206,Punten!$C$3:$AD$224,27,0)</f>
        <v xml:space="preserve"> </v>
      </c>
      <c r="E206" s="104" t="str">
        <f>VLOOKUP(C206,Punten!$C$3:$AD$224,27,0)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VLOOKUP(B207,Punten!$C$3:$AD$224,27,0)</f>
        <v xml:space="preserve"> </v>
      </c>
      <c r="E207" s="104" t="str">
        <f>VLOOKUP(C207,Punten!$C$3:$AD$224,27,0)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VLOOKUP(B208,Punten!$C$3:$AD$224,27,0)</f>
        <v xml:space="preserve"> </v>
      </c>
      <c r="E208" s="104" t="str">
        <f>VLOOKUP(C208,Punten!$C$3:$AD$224,27,0)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VLOOKUP(B209,Punten!$C$3:$AD$224,27,0)</f>
        <v xml:space="preserve"> </v>
      </c>
      <c r="E209" s="104" t="str">
        <f>VLOOKUP(C209,Punten!$C$3:$AD$224,27,0)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VLOOKUP(B211,Punten!$C$3:$AD$224,28,0)</f>
        <v xml:space="preserve"> </v>
      </c>
      <c r="E211" s="104" t="str">
        <f>VLOOKUP(C211,Punten!$C$3:$AD$224,28,0)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VLOOKUP(B212,Punten!$C$3:$AD$224,28,0)</f>
        <v xml:space="preserve"> </v>
      </c>
      <c r="E212" s="104" t="str">
        <f>VLOOKUP(C212,Punten!$C$3:$AD$224,28,0)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VLOOKUP(B213,Punten!$C$3:$AD$224,28,0)</f>
        <v xml:space="preserve"> </v>
      </c>
      <c r="E213" s="104" t="str">
        <f>VLOOKUP(C213,Punten!$C$3:$AD$224,28,0)</f>
        <v xml:space="preserve"> </v>
      </c>
    </row>
    <row r="214" spans="1:7" ht="15" customHeight="1" x14ac:dyDescent="0.3">
      <c r="A214" s="97">
        <v>46161</v>
      </c>
      <c r="B214" s="98" t="s">
        <v>291</v>
      </c>
      <c r="C214" s="98" t="s">
        <v>5</v>
      </c>
      <c r="D214" s="104" t="str">
        <f>VLOOKUP(B214,Punten!$C$3:$AD$224,28,0)</f>
        <v xml:space="preserve"> </v>
      </c>
      <c r="E214" s="104" t="str">
        <f>VLOOKUP(C214,Punten!$C$3:$AD$224,28,0)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VLOOKUP(B215,Punten!$C$3:$AD$224,28,0)</f>
        <v xml:space="preserve"> </v>
      </c>
      <c r="E215" s="104" t="str">
        <f>VLOOKUP(C215,Punten!$C$3:$AD$224,28,0)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VLOOKUP(B216,Punten!$C$3:$AD$224,28,0)</f>
        <v xml:space="preserve"> </v>
      </c>
      <c r="E216" s="104" t="str">
        <f>VLOOKUP(C216,Punten!$C$3:$AD$224,28,0)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290</v>
      </c>
      <c r="D217" s="104" t="str">
        <f>VLOOKUP(B217,Punten!$C$3:$AD$224,28,0)</f>
        <v xml:space="preserve"> </v>
      </c>
      <c r="E217" s="104" t="str">
        <f>VLOOKUP(C217,Punten!$C$3:$AD$224,28,0)</f>
        <v xml:space="preserve"> </v>
      </c>
    </row>
    <row r="218" spans="1:7" s="61" customFormat="1" ht="15.6" customHeight="1" x14ac:dyDescent="0.3">
      <c r="A218" s="292" t="s">
        <v>319</v>
      </c>
      <c r="B218" s="286"/>
      <c r="C218" s="169" t="s">
        <v>346</v>
      </c>
      <c r="E218" s="62"/>
      <c r="F218" s="62"/>
      <c r="G218" s="62"/>
    </row>
    <row r="219" spans="1:7" x14ac:dyDescent="0.3">
      <c r="A219" s="290" t="s">
        <v>350</v>
      </c>
      <c r="B219" s="291"/>
      <c r="C219" s="291"/>
      <c r="D219" s="291"/>
      <c r="E219" s="291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ortState xmlns:xlrd2="http://schemas.microsoft.com/office/spreadsheetml/2017/richdata2" ref="A139:C145">
    <sortCondition ref="A139:A145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6" priority="22">
      <formula>ISERROR(D6)</formula>
    </cfRule>
  </conditionalFormatting>
  <conditionalFormatting sqref="D54:E108">
    <cfRule type="cellIs" dxfId="85" priority="3" operator="equal">
      <formula>0</formula>
    </cfRule>
  </conditionalFormatting>
  <conditionalFormatting sqref="D115:E217 D220:E220">
    <cfRule type="containsErrors" dxfId="84" priority="4">
      <formula>ISERROR(D115)</formula>
    </cfRule>
  </conditionalFormatting>
  <conditionalFormatting sqref="D115:E217">
    <cfRule type="cellIs" dxfId="83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U8" sqref="U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73"/>
      <c r="AL1" s="305" t="s">
        <v>41</v>
      </c>
      <c r="AM1" s="305"/>
      <c r="AN1" s="305"/>
      <c r="AO1" s="306"/>
    </row>
    <row r="2" spans="1:41" ht="121.5" customHeight="1" thickBot="1" x14ac:dyDescent="0.35">
      <c r="A2" s="307" t="s">
        <v>22</v>
      </c>
      <c r="B2" s="309" t="s">
        <v>42</v>
      </c>
      <c r="C2" s="311" t="s">
        <v>43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48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08"/>
      <c r="B3" s="31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2"/>
      <c r="AI3" s="298"/>
      <c r="AJ3" s="300"/>
      <c r="AK3" s="76"/>
      <c r="AL3" s="302"/>
      <c r="AM3" s="298"/>
      <c r="AN3" s="298"/>
      <c r="AO3" s="300"/>
    </row>
    <row r="4" spans="1:41" s="10" customFormat="1" ht="20.100000000000001" customHeight="1" x14ac:dyDescent="0.3">
      <c r="A4" s="177" t="s">
        <v>51</v>
      </c>
      <c r="B4" s="137">
        <v>19</v>
      </c>
      <c r="C4" s="160"/>
      <c r="D4" s="161">
        <v>14</v>
      </c>
      <c r="E4" s="161"/>
      <c r="F4" s="161">
        <v>29</v>
      </c>
      <c r="G4" s="161">
        <v>26</v>
      </c>
      <c r="H4" s="161"/>
      <c r="I4" s="161"/>
      <c r="J4" s="161"/>
      <c r="K4" s="161">
        <v>23</v>
      </c>
      <c r="L4" s="161"/>
      <c r="M4" s="161">
        <v>20</v>
      </c>
      <c r="N4" s="161">
        <v>22</v>
      </c>
      <c r="O4" s="162"/>
      <c r="P4" s="9">
        <f>SUM(C4:O4)</f>
        <v>134</v>
      </c>
      <c r="Q4" s="8">
        <f>COUNTIF(C4:O4,"&gt;0")</f>
        <v>6</v>
      </c>
      <c r="R4" s="8">
        <f>IF(P4=0," ",P4/Q4)</f>
        <v>22.333333333333332</v>
      </c>
      <c r="S4" s="94">
        <f>IF(P4=0," ",P4/(Q4*B4)*100)</f>
        <v>117.54385964912282</v>
      </c>
      <c r="T4" s="137">
        <v>19</v>
      </c>
      <c r="U4" s="160">
        <v>17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17</v>
      </c>
      <c r="AI4" s="8">
        <f>COUNTIF(U4:AG4,"&gt;0")</f>
        <v>1</v>
      </c>
      <c r="AJ4" s="94">
        <f>IF(AH4=0," ",AH4/AI4)</f>
        <v>17</v>
      </c>
      <c r="AK4" s="77"/>
      <c r="AL4" s="122">
        <f t="shared" ref="AL4" si="0">P4+AH4</f>
        <v>151</v>
      </c>
      <c r="AM4" s="123">
        <f t="shared" ref="AM4" si="1">Q4+AI4</f>
        <v>7</v>
      </c>
      <c r="AN4" s="8">
        <f>IF(AL4=0," ",AL4/AM4)</f>
        <v>21.571428571428573</v>
      </c>
      <c r="AO4" s="94">
        <f>IF(AL4=0," ",AL4/(AM4*T4)*100)</f>
        <v>113.53383458646617</v>
      </c>
    </row>
    <row r="5" spans="1:41" s="10" customFormat="1" ht="20.100000000000001" customHeight="1" x14ac:dyDescent="0.3">
      <c r="A5" s="26" t="s">
        <v>285</v>
      </c>
      <c r="B5" s="70">
        <v>35</v>
      </c>
      <c r="C5" s="163">
        <v>36</v>
      </c>
      <c r="D5" s="164"/>
      <c r="E5" s="164"/>
      <c r="F5" s="164"/>
      <c r="G5" s="164"/>
      <c r="H5" s="164"/>
      <c r="I5" s="164">
        <v>39</v>
      </c>
      <c r="J5" s="164">
        <v>23</v>
      </c>
      <c r="K5" s="164"/>
      <c r="L5" s="164"/>
      <c r="M5" s="164">
        <v>33</v>
      </c>
      <c r="N5" s="164"/>
      <c r="O5" s="165">
        <v>36</v>
      </c>
      <c r="P5" s="13">
        <f t="shared" ref="P5:P18" si="2">SUM(C5:O5)</f>
        <v>167</v>
      </c>
      <c r="Q5" s="11">
        <f t="shared" ref="Q5:Q18" si="3">COUNTIF(C5:O5,"&gt;0")</f>
        <v>5</v>
      </c>
      <c r="R5" s="11">
        <f t="shared" ref="R5:R18" si="4">IF(P5=0," ",P5/Q5)</f>
        <v>33.4</v>
      </c>
      <c r="S5" s="12">
        <f t="shared" ref="S5:S18" si="5">IF(P5=0," ",P5/(Q5*B5)*100)</f>
        <v>95.428571428571431</v>
      </c>
      <c r="T5" s="70">
        <v>35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167</v>
      </c>
      <c r="AM5" s="95">
        <f t="shared" ref="AM5:AM18" si="10">Q5+AI5</f>
        <v>5</v>
      </c>
      <c r="AN5" s="11">
        <f t="shared" ref="AN5:AN18" si="11">IF(AL5=0," ",AL5/AM5)</f>
        <v>33.4</v>
      </c>
      <c r="AO5" s="12">
        <f t="shared" ref="AO5:AO18" si="12">IF(AL5=0," ",AL5/(AM5*T5)*100)</f>
        <v>95.428571428571431</v>
      </c>
    </row>
    <row r="6" spans="1:41" s="10" customFormat="1" ht="20.100000000000001" customHeight="1" x14ac:dyDescent="0.3">
      <c r="A6" s="26" t="s">
        <v>52</v>
      </c>
      <c r="B6" s="70">
        <v>23</v>
      </c>
      <c r="C6" s="163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3">
        <v>41</v>
      </c>
      <c r="D7" s="164"/>
      <c r="E7" s="164">
        <v>18</v>
      </c>
      <c r="F7" s="164">
        <v>41</v>
      </c>
      <c r="G7" s="164">
        <v>24</v>
      </c>
      <c r="H7" s="164"/>
      <c r="I7" s="164"/>
      <c r="J7" s="164">
        <v>24</v>
      </c>
      <c r="K7" s="164">
        <v>19</v>
      </c>
      <c r="L7" s="164">
        <v>17</v>
      </c>
      <c r="M7" s="164"/>
      <c r="N7" s="164">
        <v>17</v>
      </c>
      <c r="O7" s="165">
        <v>26</v>
      </c>
      <c r="P7" s="13">
        <f t="shared" si="2"/>
        <v>227</v>
      </c>
      <c r="Q7" s="11">
        <f t="shared" si="3"/>
        <v>9</v>
      </c>
      <c r="R7" s="11">
        <f t="shared" si="4"/>
        <v>25.222222222222221</v>
      </c>
      <c r="S7" s="12">
        <f t="shared" si="5"/>
        <v>97.008547008547012</v>
      </c>
      <c r="T7" s="70">
        <v>26</v>
      </c>
      <c r="U7" s="163">
        <v>33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33</v>
      </c>
      <c r="AI7" s="11">
        <f t="shared" si="7"/>
        <v>1</v>
      </c>
      <c r="AJ7" s="12">
        <f t="shared" si="8"/>
        <v>33</v>
      </c>
      <c r="AK7" s="77"/>
      <c r="AL7" s="124">
        <f t="shared" si="9"/>
        <v>260</v>
      </c>
      <c r="AM7" s="95">
        <f t="shared" si="10"/>
        <v>10</v>
      </c>
      <c r="AN7" s="11">
        <f t="shared" si="11"/>
        <v>26</v>
      </c>
      <c r="AO7" s="12">
        <f t="shared" si="12"/>
        <v>100</v>
      </c>
    </row>
    <row r="8" spans="1:41" s="10" customFormat="1" ht="20.100000000000001" customHeight="1" x14ac:dyDescent="0.3">
      <c r="A8" s="26" t="s">
        <v>54</v>
      </c>
      <c r="B8" s="70">
        <v>48</v>
      </c>
      <c r="C8" s="163"/>
      <c r="D8" s="164">
        <v>19</v>
      </c>
      <c r="E8" s="164">
        <v>34</v>
      </c>
      <c r="F8" s="164">
        <v>36</v>
      </c>
      <c r="G8" s="164"/>
      <c r="H8" s="164">
        <v>33</v>
      </c>
      <c r="I8" s="164">
        <v>51</v>
      </c>
      <c r="J8" s="164"/>
      <c r="K8" s="164"/>
      <c r="L8" s="164">
        <v>34</v>
      </c>
      <c r="M8" s="164"/>
      <c r="N8" s="164">
        <v>51</v>
      </c>
      <c r="O8" s="165">
        <v>51</v>
      </c>
      <c r="P8" s="13">
        <f t="shared" si="2"/>
        <v>309</v>
      </c>
      <c r="Q8" s="11">
        <f t="shared" si="3"/>
        <v>8</v>
      </c>
      <c r="R8" s="11">
        <f t="shared" si="4"/>
        <v>38.625</v>
      </c>
      <c r="S8" s="12">
        <f t="shared" si="5"/>
        <v>80.46875</v>
      </c>
      <c r="T8" s="70">
        <v>48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309</v>
      </c>
      <c r="AM8" s="95">
        <f t="shared" si="10"/>
        <v>8</v>
      </c>
      <c r="AN8" s="11">
        <f t="shared" si="11"/>
        <v>38.625</v>
      </c>
      <c r="AO8" s="12">
        <f t="shared" si="12"/>
        <v>80.46875</v>
      </c>
    </row>
    <row r="9" spans="1:41" s="10" customFormat="1" ht="20.100000000000001" customHeight="1" x14ac:dyDescent="0.3">
      <c r="A9" s="69" t="s">
        <v>55</v>
      </c>
      <c r="B9" s="70">
        <v>25</v>
      </c>
      <c r="C9" s="163">
        <v>29</v>
      </c>
      <c r="D9" s="164"/>
      <c r="E9" s="164"/>
      <c r="F9" s="164">
        <v>15</v>
      </c>
      <c r="G9" s="164"/>
      <c r="H9" s="164">
        <v>18</v>
      </c>
      <c r="I9" s="164">
        <v>17</v>
      </c>
      <c r="J9" s="164"/>
      <c r="K9" s="164">
        <v>27</v>
      </c>
      <c r="L9" s="164"/>
      <c r="M9" s="164">
        <v>14</v>
      </c>
      <c r="N9" s="164"/>
      <c r="O9" s="165"/>
      <c r="P9" s="13">
        <f t="shared" si="2"/>
        <v>120</v>
      </c>
      <c r="Q9" s="11">
        <f t="shared" si="3"/>
        <v>6</v>
      </c>
      <c r="R9" s="11">
        <f t="shared" si="4"/>
        <v>20</v>
      </c>
      <c r="S9" s="12">
        <f t="shared" si="5"/>
        <v>80</v>
      </c>
      <c r="T9" s="70">
        <v>25</v>
      </c>
      <c r="U9" s="163">
        <v>25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25</v>
      </c>
      <c r="AI9" s="11">
        <f t="shared" si="7"/>
        <v>1</v>
      </c>
      <c r="AJ9" s="12">
        <f t="shared" si="8"/>
        <v>25</v>
      </c>
      <c r="AK9" s="77"/>
      <c r="AL9" s="124">
        <f t="shared" si="9"/>
        <v>145</v>
      </c>
      <c r="AM9" s="95">
        <f t="shared" si="10"/>
        <v>7</v>
      </c>
      <c r="AN9" s="11">
        <f t="shared" si="11"/>
        <v>20.714285714285715</v>
      </c>
      <c r="AO9" s="12">
        <f t="shared" si="12"/>
        <v>82.857142857142861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3"/>
      <c r="D10" s="164">
        <v>14</v>
      </c>
      <c r="E10" s="164">
        <v>14</v>
      </c>
      <c r="F10" s="164"/>
      <c r="G10" s="164">
        <v>9</v>
      </c>
      <c r="H10" s="164"/>
      <c r="I10" s="164">
        <v>16</v>
      </c>
      <c r="J10" s="164"/>
      <c r="K10" s="164">
        <v>20</v>
      </c>
      <c r="L10" s="164">
        <v>17</v>
      </c>
      <c r="M10" s="164"/>
      <c r="N10" s="164">
        <v>16</v>
      </c>
      <c r="O10" s="165">
        <v>12</v>
      </c>
      <c r="P10" s="13">
        <f t="shared" si="2"/>
        <v>118</v>
      </c>
      <c r="Q10" s="11">
        <f t="shared" si="3"/>
        <v>8</v>
      </c>
      <c r="R10" s="11">
        <f t="shared" si="4"/>
        <v>14.75</v>
      </c>
      <c r="S10" s="12">
        <f t="shared" si="5"/>
        <v>98.333333333333329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118</v>
      </c>
      <c r="AM10" s="95">
        <f t="shared" si="10"/>
        <v>8</v>
      </c>
      <c r="AN10" s="11">
        <f t="shared" si="11"/>
        <v>14.75</v>
      </c>
      <c r="AO10" s="12">
        <f t="shared" si="12"/>
        <v>98.333333333333329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3"/>
      <c r="D11" s="164">
        <v>22</v>
      </c>
      <c r="E11" s="164"/>
      <c r="F11" s="164"/>
      <c r="G11" s="164">
        <v>26</v>
      </c>
      <c r="H11" s="164">
        <v>20</v>
      </c>
      <c r="I11" s="164"/>
      <c r="J11" s="164">
        <v>26</v>
      </c>
      <c r="K11" s="164">
        <v>42</v>
      </c>
      <c r="L11" s="164">
        <v>18</v>
      </c>
      <c r="M11" s="164">
        <v>26</v>
      </c>
      <c r="N11" s="164"/>
      <c r="O11" s="165">
        <v>20</v>
      </c>
      <c r="P11" s="13">
        <f t="shared" si="2"/>
        <v>200</v>
      </c>
      <c r="Q11" s="11">
        <f t="shared" si="3"/>
        <v>8</v>
      </c>
      <c r="R11" s="11">
        <f t="shared" si="4"/>
        <v>25</v>
      </c>
      <c r="S11" s="12">
        <f t="shared" si="5"/>
        <v>89.285714285714292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200</v>
      </c>
      <c r="AM11" s="95">
        <f t="shared" si="10"/>
        <v>8</v>
      </c>
      <c r="AN11" s="11">
        <f t="shared" si="11"/>
        <v>25</v>
      </c>
      <c r="AO11" s="12">
        <f t="shared" si="12"/>
        <v>89.285714285714292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3">
        <v>30</v>
      </c>
      <c r="D12" s="164">
        <v>19</v>
      </c>
      <c r="E12" s="164">
        <v>22</v>
      </c>
      <c r="F12" s="164">
        <v>48</v>
      </c>
      <c r="G12" s="164">
        <v>11</v>
      </c>
      <c r="H12" s="164">
        <v>25</v>
      </c>
      <c r="I12" s="164"/>
      <c r="J12" s="164">
        <v>23</v>
      </c>
      <c r="K12" s="164">
        <v>23</v>
      </c>
      <c r="L12" s="164">
        <v>30</v>
      </c>
      <c r="M12" s="164"/>
      <c r="N12" s="164">
        <v>14</v>
      </c>
      <c r="O12" s="165"/>
      <c r="P12" s="13">
        <f t="shared" si="2"/>
        <v>245</v>
      </c>
      <c r="Q12" s="11">
        <f t="shared" si="3"/>
        <v>10</v>
      </c>
      <c r="R12" s="11">
        <f t="shared" si="4"/>
        <v>24.5</v>
      </c>
      <c r="S12" s="12">
        <f t="shared" si="5"/>
        <v>98</v>
      </c>
      <c r="T12" s="70">
        <v>25</v>
      </c>
      <c r="U12" s="163">
        <v>29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29</v>
      </c>
      <c r="AI12" s="11">
        <f t="shared" si="7"/>
        <v>1</v>
      </c>
      <c r="AJ12" s="12">
        <f t="shared" si="8"/>
        <v>29</v>
      </c>
      <c r="AK12" s="77"/>
      <c r="AL12" s="124">
        <f t="shared" si="9"/>
        <v>274</v>
      </c>
      <c r="AM12" s="95">
        <f t="shared" si="10"/>
        <v>11</v>
      </c>
      <c r="AN12" s="11">
        <f t="shared" si="11"/>
        <v>24.90909090909091</v>
      </c>
      <c r="AO12" s="12">
        <f t="shared" si="12"/>
        <v>99.63636363636364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3"/>
      <c r="D13" s="164">
        <v>20</v>
      </c>
      <c r="E13" s="164">
        <v>27</v>
      </c>
      <c r="F13" s="164">
        <v>29</v>
      </c>
      <c r="G13" s="164"/>
      <c r="H13" s="164">
        <v>27</v>
      </c>
      <c r="I13" s="164"/>
      <c r="J13" s="164">
        <v>39</v>
      </c>
      <c r="K13" s="164"/>
      <c r="L13" s="164">
        <v>28</v>
      </c>
      <c r="M13" s="164">
        <v>15</v>
      </c>
      <c r="N13" s="164"/>
      <c r="O13" s="165">
        <v>32</v>
      </c>
      <c r="P13" s="13">
        <f t="shared" si="2"/>
        <v>217</v>
      </c>
      <c r="Q13" s="11">
        <f t="shared" si="3"/>
        <v>8</v>
      </c>
      <c r="R13" s="11">
        <f t="shared" si="4"/>
        <v>27.125</v>
      </c>
      <c r="S13" s="12">
        <f t="shared" si="5"/>
        <v>93.534482758620683</v>
      </c>
      <c r="T13" s="70">
        <v>29</v>
      </c>
      <c r="U13" s="163">
        <v>31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31</v>
      </c>
      <c r="AI13" s="11">
        <f t="shared" si="7"/>
        <v>1</v>
      </c>
      <c r="AJ13" s="12">
        <f t="shared" si="8"/>
        <v>31</v>
      </c>
      <c r="AK13" s="77"/>
      <c r="AL13" s="124">
        <f t="shared" si="9"/>
        <v>248</v>
      </c>
      <c r="AM13" s="95">
        <f t="shared" si="10"/>
        <v>9</v>
      </c>
      <c r="AN13" s="11">
        <f t="shared" si="11"/>
        <v>27.555555555555557</v>
      </c>
      <c r="AO13" s="12">
        <f t="shared" si="12"/>
        <v>95.019157088122611</v>
      </c>
    </row>
    <row r="14" spans="1:41" s="10" customFormat="1" ht="20.100000000000001" customHeight="1" x14ac:dyDescent="0.3">
      <c r="A14" s="26" t="s">
        <v>337</v>
      </c>
      <c r="B14" s="131">
        <v>27</v>
      </c>
      <c r="C14" s="163">
        <v>34</v>
      </c>
      <c r="D14" s="164"/>
      <c r="E14" s="164"/>
      <c r="F14" s="164"/>
      <c r="G14" s="164"/>
      <c r="H14" s="164"/>
      <c r="I14" s="164">
        <v>32</v>
      </c>
      <c r="J14" s="164"/>
      <c r="K14" s="164"/>
      <c r="L14" s="164"/>
      <c r="M14" s="164"/>
      <c r="N14" s="164"/>
      <c r="O14" s="165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3">
      <c r="A15" s="26" t="s">
        <v>335</v>
      </c>
      <c r="B15" s="70">
        <v>30</v>
      </c>
      <c r="C15" s="163">
        <v>27</v>
      </c>
      <c r="D15" s="164"/>
      <c r="E15" s="164">
        <v>24</v>
      </c>
      <c r="F15" s="164"/>
      <c r="G15" s="164">
        <v>6</v>
      </c>
      <c r="H15" s="164">
        <v>39</v>
      </c>
      <c r="I15" s="164">
        <v>29</v>
      </c>
      <c r="J15" s="164">
        <v>39</v>
      </c>
      <c r="K15" s="164"/>
      <c r="L15" s="164"/>
      <c r="M15" s="164">
        <v>36</v>
      </c>
      <c r="N15" s="164">
        <v>29</v>
      </c>
      <c r="O15" s="165"/>
      <c r="P15" s="13">
        <f t="shared" si="2"/>
        <v>229</v>
      </c>
      <c r="Q15" s="11">
        <f t="shared" si="3"/>
        <v>8</v>
      </c>
      <c r="R15" s="11">
        <f t="shared" si="4"/>
        <v>28.625</v>
      </c>
      <c r="S15" s="12">
        <f t="shared" si="5"/>
        <v>95.416666666666671</v>
      </c>
      <c r="T15" s="70">
        <v>30</v>
      </c>
      <c r="U15" s="163">
        <v>16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16</v>
      </c>
      <c r="AI15" s="11">
        <f t="shared" si="7"/>
        <v>1</v>
      </c>
      <c r="AJ15" s="12">
        <f t="shared" si="8"/>
        <v>16</v>
      </c>
      <c r="AK15" s="77"/>
      <c r="AL15" s="124">
        <f t="shared" si="9"/>
        <v>245</v>
      </c>
      <c r="AM15" s="95">
        <f t="shared" si="10"/>
        <v>9</v>
      </c>
      <c r="AN15" s="11">
        <f t="shared" si="11"/>
        <v>27.222222222222221</v>
      </c>
      <c r="AO15" s="12">
        <f t="shared" si="12"/>
        <v>90.740740740740748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8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174</v>
      </c>
      <c r="K19" s="19">
        <f t="shared" si="14"/>
        <v>154</v>
      </c>
      <c r="L19" s="19">
        <f t="shared" si="14"/>
        <v>144</v>
      </c>
      <c r="M19" s="19">
        <f t="shared" si="14"/>
        <v>144</v>
      </c>
      <c r="N19" s="19">
        <f t="shared" si="14"/>
        <v>149</v>
      </c>
      <c r="O19" s="19">
        <f t="shared" si="14"/>
        <v>177</v>
      </c>
      <c r="P19" s="19">
        <f t="shared" si="14"/>
        <v>2032</v>
      </c>
      <c r="Q19" s="19">
        <f t="shared" si="14"/>
        <v>78</v>
      </c>
      <c r="R19" s="19">
        <f>P19/Q19</f>
        <v>26.051282051282051</v>
      </c>
      <c r="S19" s="22"/>
      <c r="T19" s="179">
        <f t="shared" ref="T19:AI19" si="15">SUM(T4:T18)</f>
        <v>330</v>
      </c>
      <c r="U19" s="21">
        <f t="shared" si="15"/>
        <v>151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151</v>
      </c>
      <c r="AI19" s="18">
        <f t="shared" si="15"/>
        <v>6</v>
      </c>
      <c r="AJ19" s="23">
        <f>AH19/AI19</f>
        <v>25.166666666666668</v>
      </c>
      <c r="AK19" s="78"/>
      <c r="AL19" s="24">
        <f>SUM(AL4:AL18)</f>
        <v>2183</v>
      </c>
      <c r="AM19" s="18">
        <f>SUM(AM4:AM18)</f>
        <v>84</v>
      </c>
      <c r="AN19" s="18">
        <f t="shared" ref="AN19" si="16">AL19/AM19</f>
        <v>25.988095238095237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82" priority="12" operator="equal">
      <formula>0</formula>
    </cfRule>
  </conditionalFormatting>
  <conditionalFormatting sqref="A19 C19:S19 U19:AO19">
    <cfRule type="containsErrors" dxfId="81" priority="14">
      <formula>ISERROR(A19)</formula>
    </cfRule>
  </conditionalFormatting>
  <conditionalFormatting sqref="B4:B19">
    <cfRule type="cellIs" dxfId="80" priority="11" operator="equal">
      <formula>0</formula>
    </cfRule>
  </conditionalFormatting>
  <conditionalFormatting sqref="P4:S18 C19:S19">
    <cfRule type="cellIs" dxfId="79" priority="7" operator="equal">
      <formula>0</formula>
    </cfRule>
  </conditionalFormatting>
  <conditionalFormatting sqref="T4:T19">
    <cfRule type="cellIs" dxfId="78" priority="1" operator="equal">
      <formula>0</formula>
    </cfRule>
  </conditionalFormatting>
  <conditionalFormatting sqref="AH4:AO18 U19:AO19">
    <cfRule type="cellIs" dxfId="77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topLeftCell="B1" zoomScale="110" zoomScaleNormal="110" workbookViewId="0">
      <selection activeCell="U11" sqref="U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73"/>
      <c r="AL1" s="305" t="s">
        <v>41</v>
      </c>
      <c r="AM1" s="305"/>
      <c r="AN1" s="305"/>
      <c r="AO1" s="306"/>
    </row>
    <row r="2" spans="1:41" ht="121.5" customHeight="1" thickBot="1" x14ac:dyDescent="0.35">
      <c r="A2" s="324" t="s">
        <v>60</v>
      </c>
      <c r="B2" s="326" t="s">
        <v>42</v>
      </c>
      <c r="C2" s="311" t="s">
        <v>61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62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25"/>
      <c r="B3" s="327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8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31"/>
      <c r="AI3" s="329"/>
      <c r="AJ3" s="330"/>
      <c r="AK3" s="76"/>
      <c r="AL3" s="331"/>
      <c r="AM3" s="329"/>
      <c r="AN3" s="329"/>
      <c r="AO3" s="330"/>
    </row>
    <row r="4" spans="1:41" s="10" customFormat="1" ht="20.100000000000001" customHeight="1" x14ac:dyDescent="0.3">
      <c r="A4" s="177" t="s">
        <v>306</v>
      </c>
      <c r="B4" s="137">
        <v>31</v>
      </c>
      <c r="C4" s="160"/>
      <c r="D4" s="161"/>
      <c r="E4" s="161"/>
      <c r="F4" s="161"/>
      <c r="G4" s="161">
        <v>9</v>
      </c>
      <c r="H4" s="161"/>
      <c r="I4" s="161">
        <v>34</v>
      </c>
      <c r="J4" s="161">
        <v>23</v>
      </c>
      <c r="K4" s="161">
        <v>38</v>
      </c>
      <c r="L4" s="161"/>
      <c r="M4" s="161">
        <v>55</v>
      </c>
      <c r="N4" s="161"/>
      <c r="O4" s="162">
        <v>36</v>
      </c>
      <c r="P4" s="9">
        <f>SUM(C4:O4)</f>
        <v>195</v>
      </c>
      <c r="Q4" s="8">
        <f>COUNTIF(C4:O4,"&gt;0")</f>
        <v>6</v>
      </c>
      <c r="R4" s="8">
        <f>IF(P4=0," ",P4/Q4)</f>
        <v>32.5</v>
      </c>
      <c r="S4" s="94">
        <f>IF(P4=0," ",P4/(Q4*B4)*100)</f>
        <v>104.83870967741935</v>
      </c>
      <c r="T4" s="70">
        <v>31</v>
      </c>
      <c r="U4" s="160">
        <v>32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32</v>
      </c>
      <c r="AI4" s="8">
        <f>COUNTIF(U4:AG4,"&gt;0")</f>
        <v>1</v>
      </c>
      <c r="AJ4" s="94">
        <f>IF(AH4=0," ",AH4/AI4)</f>
        <v>32</v>
      </c>
      <c r="AK4" s="77"/>
      <c r="AL4" s="122">
        <f t="shared" ref="AL4" si="0">P4+AH4</f>
        <v>227</v>
      </c>
      <c r="AM4" s="123">
        <f t="shared" ref="AM4" si="1">Q4+AI4</f>
        <v>7</v>
      </c>
      <c r="AN4" s="8">
        <f>IF(AL4=0," ",AL4/AM4)</f>
        <v>32.428571428571431</v>
      </c>
      <c r="AO4" s="94">
        <f>IF(AL4=0," ",AL4/(AM4*T4)*100)</f>
        <v>104.60829493087557</v>
      </c>
    </row>
    <row r="5" spans="1:41" s="10" customFormat="1" ht="20.100000000000001" customHeight="1" x14ac:dyDescent="0.3">
      <c r="A5" s="26" t="s">
        <v>63</v>
      </c>
      <c r="B5" s="70">
        <v>52</v>
      </c>
      <c r="C5" s="163"/>
      <c r="D5" s="164"/>
      <c r="E5" s="164">
        <v>54</v>
      </c>
      <c r="F5" s="164">
        <v>69</v>
      </c>
      <c r="G5" s="164"/>
      <c r="H5" s="164"/>
      <c r="I5" s="164"/>
      <c r="J5" s="164"/>
      <c r="K5" s="164">
        <v>41</v>
      </c>
      <c r="L5" s="164"/>
      <c r="M5" s="164">
        <v>55</v>
      </c>
      <c r="N5" s="164"/>
      <c r="O5" s="165"/>
      <c r="P5" s="13">
        <f t="shared" ref="P5:P18" si="2">SUM(C5:O5)</f>
        <v>219</v>
      </c>
      <c r="Q5" s="11">
        <f t="shared" ref="Q5:Q18" si="3">COUNTIF(C5:O5,"&gt;0")</f>
        <v>4</v>
      </c>
      <c r="R5" s="11">
        <f t="shared" ref="R5:R18" si="4">IF(P5=0," ",P5/Q5)</f>
        <v>54.75</v>
      </c>
      <c r="S5" s="12">
        <f t="shared" ref="S5:S18" si="5">IF(P5=0," ",P5/(Q5*B5)*100)</f>
        <v>105.28846153846155</v>
      </c>
      <c r="T5" s="70">
        <v>52</v>
      </c>
      <c r="U5" s="163">
        <v>71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71</v>
      </c>
      <c r="AI5" s="11">
        <f t="shared" ref="AI5:AI18" si="7">COUNTIF(U5:AG5,"&gt;0")</f>
        <v>1</v>
      </c>
      <c r="AJ5" s="12">
        <f t="shared" ref="AJ5:AJ18" si="8">IF(AH5=0," ",AH5/AI5)</f>
        <v>71</v>
      </c>
      <c r="AK5" s="77"/>
      <c r="AL5" s="124">
        <f t="shared" ref="AL5:AL18" si="9">P5+AH5</f>
        <v>290</v>
      </c>
      <c r="AM5" s="95">
        <f t="shared" ref="AM5:AM18" si="10">Q5+AI5</f>
        <v>5</v>
      </c>
      <c r="AN5" s="11">
        <f t="shared" ref="AN5:AN18" si="11">IF(AL5=0," ",AL5/AM5)</f>
        <v>58</v>
      </c>
      <c r="AO5" s="12">
        <f t="shared" ref="AO5:AO18" si="12">IF(AL5=0," ",AL5/(AM5*T5)*100)</f>
        <v>111.53846153846155</v>
      </c>
    </row>
    <row r="6" spans="1:41" s="10" customFormat="1" ht="20.100000000000001" customHeight="1" x14ac:dyDescent="0.3">
      <c r="A6" s="26" t="s">
        <v>64</v>
      </c>
      <c r="B6" s="70">
        <v>42</v>
      </c>
      <c r="C6" s="163"/>
      <c r="D6" s="164"/>
      <c r="E6" s="164">
        <v>30</v>
      </c>
      <c r="F6" s="164"/>
      <c r="G6" s="164"/>
      <c r="H6" s="164">
        <v>45</v>
      </c>
      <c r="I6" s="164"/>
      <c r="J6" s="164"/>
      <c r="K6" s="164"/>
      <c r="L6" s="164"/>
      <c r="M6" s="164">
        <v>34</v>
      </c>
      <c r="N6" s="164"/>
      <c r="O6" s="165"/>
      <c r="P6" s="13">
        <f t="shared" si="2"/>
        <v>109</v>
      </c>
      <c r="Q6" s="11">
        <f t="shared" si="3"/>
        <v>3</v>
      </c>
      <c r="R6" s="11">
        <f t="shared" si="4"/>
        <v>36.333333333333336</v>
      </c>
      <c r="S6" s="12">
        <f t="shared" si="5"/>
        <v>86.507936507936506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109</v>
      </c>
      <c r="AM6" s="95">
        <f t="shared" si="10"/>
        <v>3</v>
      </c>
      <c r="AN6" s="11">
        <f t="shared" si="11"/>
        <v>36.333333333333336</v>
      </c>
      <c r="AO6" s="12">
        <f t="shared" si="12"/>
        <v>86.507936507936506</v>
      </c>
    </row>
    <row r="7" spans="1:41" s="10" customFormat="1" ht="20.100000000000001" customHeight="1" x14ac:dyDescent="0.3">
      <c r="A7" s="26" t="s">
        <v>65</v>
      </c>
      <c r="B7" s="70">
        <v>18</v>
      </c>
      <c r="C7" s="163"/>
      <c r="D7" s="164"/>
      <c r="E7" s="164"/>
      <c r="F7" s="164"/>
      <c r="G7" s="164"/>
      <c r="H7" s="164">
        <v>12</v>
      </c>
      <c r="I7" s="164"/>
      <c r="J7" s="164"/>
      <c r="K7" s="164"/>
      <c r="L7" s="164"/>
      <c r="M7" s="164"/>
      <c r="N7" s="164">
        <v>20</v>
      </c>
      <c r="O7" s="165"/>
      <c r="P7" s="13">
        <f t="shared" si="2"/>
        <v>32</v>
      </c>
      <c r="Q7" s="11">
        <f t="shared" si="3"/>
        <v>2</v>
      </c>
      <c r="R7" s="11">
        <f t="shared" si="4"/>
        <v>16</v>
      </c>
      <c r="S7" s="12">
        <f t="shared" si="5"/>
        <v>88.888888888888886</v>
      </c>
      <c r="T7" s="70">
        <v>18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32</v>
      </c>
      <c r="AM7" s="95">
        <f t="shared" si="10"/>
        <v>2</v>
      </c>
      <c r="AN7" s="11">
        <f t="shared" si="11"/>
        <v>16</v>
      </c>
      <c r="AO7" s="12">
        <f t="shared" si="12"/>
        <v>88.888888888888886</v>
      </c>
    </row>
    <row r="8" spans="1:41" s="10" customFormat="1" ht="20.100000000000001" customHeight="1" x14ac:dyDescent="0.3">
      <c r="A8" s="26" t="s">
        <v>66</v>
      </c>
      <c r="B8" s="70">
        <v>25</v>
      </c>
      <c r="C8" s="163"/>
      <c r="D8" s="164"/>
      <c r="E8" s="164"/>
      <c r="F8" s="164"/>
      <c r="G8" s="164"/>
      <c r="H8" s="164"/>
      <c r="I8" s="164">
        <v>18</v>
      </c>
      <c r="J8" s="164"/>
      <c r="K8" s="164">
        <v>32</v>
      </c>
      <c r="L8" s="164">
        <v>25</v>
      </c>
      <c r="M8" s="164"/>
      <c r="N8" s="164"/>
      <c r="O8" s="165"/>
      <c r="P8" s="13">
        <f t="shared" si="2"/>
        <v>75</v>
      </c>
      <c r="Q8" s="11">
        <f t="shared" si="3"/>
        <v>3</v>
      </c>
      <c r="R8" s="11">
        <f t="shared" si="4"/>
        <v>25</v>
      </c>
      <c r="S8" s="12">
        <f t="shared" si="5"/>
        <v>100</v>
      </c>
      <c r="T8" s="70">
        <v>25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75</v>
      </c>
      <c r="AM8" s="95">
        <f t="shared" si="10"/>
        <v>3</v>
      </c>
      <c r="AN8" s="11">
        <f t="shared" si="11"/>
        <v>25</v>
      </c>
      <c r="AO8" s="12">
        <f t="shared" si="12"/>
        <v>100</v>
      </c>
    </row>
    <row r="9" spans="1:41" s="10" customFormat="1" ht="20.100000000000001" customHeight="1" x14ac:dyDescent="0.3">
      <c r="A9" s="26" t="s">
        <v>67</v>
      </c>
      <c r="B9" s="70">
        <v>53</v>
      </c>
      <c r="C9" s="163">
        <v>44</v>
      </c>
      <c r="D9" s="164"/>
      <c r="E9" s="164">
        <v>63</v>
      </c>
      <c r="F9" s="164">
        <v>53</v>
      </c>
      <c r="G9" s="164">
        <v>44</v>
      </c>
      <c r="H9" s="164"/>
      <c r="I9" s="164">
        <v>53</v>
      </c>
      <c r="J9" s="164"/>
      <c r="K9" s="164"/>
      <c r="L9" s="164">
        <v>40</v>
      </c>
      <c r="M9" s="164">
        <v>59</v>
      </c>
      <c r="N9" s="164"/>
      <c r="O9" s="165"/>
      <c r="P9" s="13">
        <f t="shared" si="2"/>
        <v>356</v>
      </c>
      <c r="Q9" s="11">
        <f t="shared" si="3"/>
        <v>7</v>
      </c>
      <c r="R9" s="11">
        <f t="shared" si="4"/>
        <v>50.857142857142854</v>
      </c>
      <c r="S9" s="12">
        <f t="shared" si="5"/>
        <v>95.956873315363879</v>
      </c>
      <c r="T9" s="70">
        <v>53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356</v>
      </c>
      <c r="AM9" s="95">
        <f t="shared" si="10"/>
        <v>7</v>
      </c>
      <c r="AN9" s="11">
        <f t="shared" si="11"/>
        <v>50.857142857142854</v>
      </c>
      <c r="AO9" s="12">
        <f t="shared" si="12"/>
        <v>95.956873315363879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3"/>
      <c r="D10" s="164"/>
      <c r="E10" s="164"/>
      <c r="F10" s="164">
        <v>55</v>
      </c>
      <c r="G10" s="164">
        <v>57</v>
      </c>
      <c r="H10" s="164">
        <v>49</v>
      </c>
      <c r="I10" s="164"/>
      <c r="J10" s="164"/>
      <c r="K10" s="164">
        <v>33</v>
      </c>
      <c r="L10" s="164"/>
      <c r="M10" s="164"/>
      <c r="N10" s="164">
        <v>41</v>
      </c>
      <c r="O10" s="165">
        <v>29</v>
      </c>
      <c r="P10" s="13">
        <f t="shared" si="2"/>
        <v>264</v>
      </c>
      <c r="Q10" s="11">
        <f t="shared" si="3"/>
        <v>6</v>
      </c>
      <c r="R10" s="11">
        <f t="shared" si="4"/>
        <v>44</v>
      </c>
      <c r="S10" s="12">
        <f t="shared" si="5"/>
        <v>86.274509803921575</v>
      </c>
      <c r="T10" s="70">
        <v>51</v>
      </c>
      <c r="U10" s="163">
        <v>72</v>
      </c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72</v>
      </c>
      <c r="AI10" s="11">
        <f t="shared" si="7"/>
        <v>1</v>
      </c>
      <c r="AJ10" s="12">
        <f t="shared" si="8"/>
        <v>72</v>
      </c>
      <c r="AK10" s="77"/>
      <c r="AL10" s="124">
        <f t="shared" si="9"/>
        <v>336</v>
      </c>
      <c r="AM10" s="95">
        <f t="shared" si="10"/>
        <v>7</v>
      </c>
      <c r="AN10" s="11">
        <f t="shared" si="11"/>
        <v>48</v>
      </c>
      <c r="AO10" s="12">
        <f t="shared" si="12"/>
        <v>94.117647058823522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3">
        <v>26</v>
      </c>
      <c r="D11" s="164">
        <v>20</v>
      </c>
      <c r="E11" s="164"/>
      <c r="F11" s="164"/>
      <c r="G11" s="164"/>
      <c r="H11" s="164"/>
      <c r="I11" s="164"/>
      <c r="J11" s="164">
        <v>35</v>
      </c>
      <c r="K11" s="164"/>
      <c r="L11" s="164">
        <v>13</v>
      </c>
      <c r="M11" s="164"/>
      <c r="N11" s="164"/>
      <c r="O11" s="165"/>
      <c r="P11" s="13">
        <f t="shared" si="2"/>
        <v>94</v>
      </c>
      <c r="Q11" s="11">
        <f t="shared" si="3"/>
        <v>4</v>
      </c>
      <c r="R11" s="11">
        <f t="shared" si="4"/>
        <v>23.5</v>
      </c>
      <c r="S11" s="12">
        <f t="shared" si="5"/>
        <v>83.928571428571431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94</v>
      </c>
      <c r="AM11" s="95">
        <f t="shared" si="10"/>
        <v>4</v>
      </c>
      <c r="AN11" s="11">
        <f t="shared" si="11"/>
        <v>23.5</v>
      </c>
      <c r="AO11" s="12">
        <f t="shared" si="12"/>
        <v>83.928571428571431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3">
        <v>78</v>
      </c>
      <c r="D12" s="164">
        <v>59</v>
      </c>
      <c r="E12" s="164"/>
      <c r="F12" s="164">
        <v>70</v>
      </c>
      <c r="G12" s="164"/>
      <c r="H12" s="164">
        <v>91</v>
      </c>
      <c r="I12" s="164">
        <v>62</v>
      </c>
      <c r="J12" s="164">
        <v>78</v>
      </c>
      <c r="K12" s="164">
        <v>60</v>
      </c>
      <c r="L12" s="164">
        <v>120</v>
      </c>
      <c r="M12" s="164"/>
      <c r="N12" s="164">
        <v>38</v>
      </c>
      <c r="O12" s="165">
        <v>76</v>
      </c>
      <c r="P12" s="13">
        <f t="shared" si="2"/>
        <v>732</v>
      </c>
      <c r="Q12" s="11">
        <f t="shared" si="3"/>
        <v>10</v>
      </c>
      <c r="R12" s="11">
        <f t="shared" si="4"/>
        <v>73.2</v>
      </c>
      <c r="S12" s="12">
        <f t="shared" si="5"/>
        <v>81.333333333333329</v>
      </c>
      <c r="T12" s="70">
        <v>90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732</v>
      </c>
      <c r="AM12" s="95">
        <f t="shared" si="10"/>
        <v>10</v>
      </c>
      <c r="AN12" s="11">
        <f t="shared" si="11"/>
        <v>73.2</v>
      </c>
      <c r="AO12" s="12">
        <f t="shared" si="12"/>
        <v>81.333333333333329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3">
        <v>36</v>
      </c>
      <c r="D13" s="164"/>
      <c r="E13" s="164"/>
      <c r="F13" s="164"/>
      <c r="G13" s="164">
        <v>28</v>
      </c>
      <c r="H13" s="164">
        <v>15</v>
      </c>
      <c r="I13" s="164"/>
      <c r="J13" s="164">
        <v>36</v>
      </c>
      <c r="K13" s="164"/>
      <c r="L13" s="164">
        <v>26</v>
      </c>
      <c r="M13" s="164"/>
      <c r="N13" s="164">
        <v>23</v>
      </c>
      <c r="O13" s="165">
        <v>24</v>
      </c>
      <c r="P13" s="13">
        <f t="shared" si="2"/>
        <v>188</v>
      </c>
      <c r="Q13" s="11">
        <f t="shared" si="3"/>
        <v>7</v>
      </c>
      <c r="R13" s="11">
        <f t="shared" si="4"/>
        <v>26.857142857142858</v>
      </c>
      <c r="S13" s="12">
        <f t="shared" si="5"/>
        <v>103.29670329670331</v>
      </c>
      <c r="T13" s="70">
        <v>26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188</v>
      </c>
      <c r="AM13" s="95">
        <f t="shared" si="10"/>
        <v>7</v>
      </c>
      <c r="AN13" s="11">
        <f t="shared" si="11"/>
        <v>26.857142857142858</v>
      </c>
      <c r="AO13" s="12">
        <f t="shared" si="12"/>
        <v>103.29670329670331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3">
        <v>36</v>
      </c>
      <c r="D14" s="164">
        <v>40</v>
      </c>
      <c r="E14" s="164"/>
      <c r="F14" s="164">
        <v>42</v>
      </c>
      <c r="G14" s="164">
        <v>41</v>
      </c>
      <c r="H14" s="164">
        <v>47</v>
      </c>
      <c r="I14" s="164">
        <v>34</v>
      </c>
      <c r="J14" s="164"/>
      <c r="K14" s="164">
        <v>40</v>
      </c>
      <c r="L14" s="164"/>
      <c r="M14" s="164"/>
      <c r="N14" s="164">
        <v>53</v>
      </c>
      <c r="O14" s="165">
        <v>55</v>
      </c>
      <c r="P14" s="13">
        <f t="shared" si="2"/>
        <v>388</v>
      </c>
      <c r="Q14" s="11">
        <f t="shared" si="3"/>
        <v>9</v>
      </c>
      <c r="R14" s="11">
        <f t="shared" si="4"/>
        <v>43.111111111111114</v>
      </c>
      <c r="S14" s="12">
        <f t="shared" si="5"/>
        <v>84.531590413943363</v>
      </c>
      <c r="T14" s="70">
        <v>51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388</v>
      </c>
      <c r="AM14" s="95">
        <f t="shared" si="10"/>
        <v>9</v>
      </c>
      <c r="AN14" s="11">
        <f t="shared" si="11"/>
        <v>43.111111111111114</v>
      </c>
      <c r="AO14" s="12">
        <f t="shared" si="12"/>
        <v>84.531590413943363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3">
        <v>26</v>
      </c>
      <c r="D15" s="164"/>
      <c r="E15" s="164">
        <v>15</v>
      </c>
      <c r="F15" s="164"/>
      <c r="G15" s="164">
        <v>38</v>
      </c>
      <c r="H15" s="164"/>
      <c r="I15" s="164">
        <v>36</v>
      </c>
      <c r="J15" s="164">
        <v>37</v>
      </c>
      <c r="K15" s="164"/>
      <c r="L15" s="164"/>
      <c r="M15" s="164">
        <v>38</v>
      </c>
      <c r="N15" s="164"/>
      <c r="O15" s="165"/>
      <c r="P15" s="13">
        <f t="shared" si="2"/>
        <v>190</v>
      </c>
      <c r="Q15" s="11">
        <f t="shared" si="3"/>
        <v>6</v>
      </c>
      <c r="R15" s="11">
        <f t="shared" si="4"/>
        <v>31.666666666666668</v>
      </c>
      <c r="S15" s="12">
        <f t="shared" si="5"/>
        <v>95.959595959595958</v>
      </c>
      <c r="T15" s="70">
        <v>33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190</v>
      </c>
      <c r="AM15" s="95">
        <f t="shared" si="10"/>
        <v>6</v>
      </c>
      <c r="AN15" s="11">
        <f t="shared" si="11"/>
        <v>31.666666666666668</v>
      </c>
      <c r="AO15" s="12">
        <f t="shared" si="12"/>
        <v>95.959595959595958</v>
      </c>
    </row>
    <row r="16" spans="1:41" s="10" customFormat="1" ht="20.100000000000001" customHeight="1" x14ac:dyDescent="0.3">
      <c r="A16" s="275" t="s">
        <v>371</v>
      </c>
      <c r="B16" s="131">
        <v>15</v>
      </c>
      <c r="C16" s="163"/>
      <c r="D16" s="164">
        <v>16</v>
      </c>
      <c r="E16" s="164">
        <v>11</v>
      </c>
      <c r="F16" s="164"/>
      <c r="G16" s="164"/>
      <c r="H16" s="164"/>
      <c r="I16" s="164"/>
      <c r="J16" s="164"/>
      <c r="K16" s="164"/>
      <c r="L16" s="164"/>
      <c r="M16" s="164">
        <v>17</v>
      </c>
      <c r="N16" s="164"/>
      <c r="O16" s="165">
        <v>18</v>
      </c>
      <c r="P16" s="13">
        <f t="shared" si="2"/>
        <v>62</v>
      </c>
      <c r="Q16" s="11">
        <f t="shared" si="3"/>
        <v>4</v>
      </c>
      <c r="R16" s="11">
        <f t="shared" si="4"/>
        <v>15.5</v>
      </c>
      <c r="S16" s="12">
        <f t="shared" si="5"/>
        <v>103.33333333333334</v>
      </c>
      <c r="T16" s="276">
        <v>16</v>
      </c>
      <c r="U16" s="163">
        <v>19</v>
      </c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19</v>
      </c>
      <c r="AI16" s="11">
        <f t="shared" si="7"/>
        <v>1</v>
      </c>
      <c r="AJ16" s="12">
        <f t="shared" si="8"/>
        <v>19</v>
      </c>
      <c r="AK16" s="77"/>
      <c r="AL16" s="124">
        <f t="shared" si="9"/>
        <v>81</v>
      </c>
      <c r="AM16" s="95">
        <f t="shared" si="10"/>
        <v>5</v>
      </c>
      <c r="AN16" s="11">
        <f t="shared" si="11"/>
        <v>16.2</v>
      </c>
      <c r="AO16" s="12">
        <f t="shared" si="12"/>
        <v>101.25</v>
      </c>
    </row>
    <row r="17" spans="1:41" s="10" customFormat="1" ht="20.100000000000001" customHeight="1" x14ac:dyDescent="0.3">
      <c r="A17" s="26" t="s">
        <v>347</v>
      </c>
      <c r="B17" s="131">
        <v>52</v>
      </c>
      <c r="C17" s="163"/>
      <c r="D17" s="164">
        <v>50</v>
      </c>
      <c r="E17" s="164">
        <v>45</v>
      </c>
      <c r="F17" s="164">
        <v>61</v>
      </c>
      <c r="G17" s="164"/>
      <c r="H17" s="164"/>
      <c r="I17" s="164"/>
      <c r="J17" s="164">
        <v>52</v>
      </c>
      <c r="K17" s="164"/>
      <c r="L17" s="164">
        <v>39</v>
      </c>
      <c r="M17" s="164"/>
      <c r="N17" s="164">
        <v>58</v>
      </c>
      <c r="O17" s="165"/>
      <c r="P17" s="13">
        <f t="shared" si="2"/>
        <v>305</v>
      </c>
      <c r="Q17" s="11">
        <f t="shared" si="3"/>
        <v>6</v>
      </c>
      <c r="R17" s="11">
        <f t="shared" si="4"/>
        <v>50.833333333333336</v>
      </c>
      <c r="S17" s="12">
        <f t="shared" si="5"/>
        <v>97.756410256410248</v>
      </c>
      <c r="T17" s="276">
        <v>51</v>
      </c>
      <c r="U17" s="163">
        <v>44</v>
      </c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44</v>
      </c>
      <c r="AI17" s="11">
        <f t="shared" si="7"/>
        <v>1</v>
      </c>
      <c r="AJ17" s="12">
        <f t="shared" si="8"/>
        <v>44</v>
      </c>
      <c r="AK17" s="77"/>
      <c r="AL17" s="124">
        <f t="shared" si="9"/>
        <v>349</v>
      </c>
      <c r="AM17" s="95">
        <f t="shared" si="10"/>
        <v>7</v>
      </c>
      <c r="AN17" s="11">
        <f t="shared" si="11"/>
        <v>49.857142857142854</v>
      </c>
      <c r="AO17" s="12">
        <f t="shared" si="12"/>
        <v>97.759103641456576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6"/>
      <c r="D18" s="167">
        <v>42</v>
      </c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6">
        <v>13</v>
      </c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13</v>
      </c>
      <c r="AI18" s="14">
        <f t="shared" si="7"/>
        <v>1</v>
      </c>
      <c r="AJ18" s="15">
        <f t="shared" si="8"/>
        <v>13</v>
      </c>
      <c r="AK18" s="77"/>
      <c r="AL18" s="125">
        <f t="shared" si="9"/>
        <v>55</v>
      </c>
      <c r="AM18" s="126">
        <f t="shared" si="10"/>
        <v>2</v>
      </c>
      <c r="AN18" s="14">
        <f t="shared" si="11"/>
        <v>27.5</v>
      </c>
      <c r="AO18" s="15">
        <f t="shared" si="12"/>
        <v>88.709677419354833</v>
      </c>
    </row>
    <row r="19" spans="1:41" s="25" customFormat="1" ht="20.100000000000001" customHeight="1" thickBot="1" x14ac:dyDescent="0.35">
      <c r="A19" s="135"/>
      <c r="B19" s="180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217</v>
      </c>
      <c r="H19" s="19">
        <f t="shared" si="13"/>
        <v>259</v>
      </c>
      <c r="I19" s="19">
        <f t="shared" si="13"/>
        <v>237</v>
      </c>
      <c r="J19" s="19">
        <f t="shared" si="13"/>
        <v>261</v>
      </c>
      <c r="K19" s="19">
        <f t="shared" si="13"/>
        <v>244</v>
      </c>
      <c r="L19" s="19">
        <f t="shared" si="13"/>
        <v>263</v>
      </c>
      <c r="M19" s="19">
        <f t="shared" si="13"/>
        <v>258</v>
      </c>
      <c r="N19" s="19">
        <f t="shared" si="13"/>
        <v>233</v>
      </c>
      <c r="O19" s="19">
        <f>SUM(O4:O18)</f>
        <v>238</v>
      </c>
      <c r="P19" s="19">
        <f t="shared" ref="P19:Q19" si="14">SUM(P4:P17)</f>
        <v>3209</v>
      </c>
      <c r="Q19" s="19">
        <f t="shared" si="14"/>
        <v>77</v>
      </c>
      <c r="R19" s="19">
        <f>P19/Q19</f>
        <v>41.675324675324674</v>
      </c>
      <c r="S19" s="22"/>
      <c r="T19" s="179">
        <f>SUM(T4:T18)</f>
        <v>598</v>
      </c>
      <c r="U19" s="21">
        <f>SUM(U4:U18)</f>
        <v>251</v>
      </c>
      <c r="V19" s="19">
        <f>SUM(V4:V18)</f>
        <v>0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238</v>
      </c>
      <c r="AI19" s="18">
        <f t="shared" si="15"/>
        <v>6</v>
      </c>
      <c r="AJ19" s="23">
        <f t="shared" si="15"/>
        <v>251</v>
      </c>
      <c r="AK19" s="78"/>
      <c r="AL19" s="24">
        <f>SUM(AL4:AL18)</f>
        <v>3502</v>
      </c>
      <c r="AM19" s="18">
        <f>SUM(AM4:AM18)</f>
        <v>84</v>
      </c>
      <c r="AN19" s="18">
        <f t="shared" ref="AN19" si="17">AL19/AM19</f>
        <v>41.69047619047619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19">
    <cfRule type="cellIs" dxfId="76" priority="1" operator="equal">
      <formula>0</formula>
    </cfRule>
    <cfRule type="containsErrors" dxfId="75" priority="2">
      <formula>ISERROR(A19)</formula>
    </cfRule>
  </conditionalFormatting>
  <conditionalFormatting sqref="B4:B19">
    <cfRule type="cellIs" dxfId="74" priority="11" operator="equal">
      <formula>0</formula>
    </cfRule>
  </conditionalFormatting>
  <conditionalFormatting sqref="C19:S19 U19:AO19">
    <cfRule type="containsErrors" dxfId="73" priority="14">
      <formula>ISERROR(C19)</formula>
    </cfRule>
  </conditionalFormatting>
  <conditionalFormatting sqref="P4:S18 C19:S19">
    <cfRule type="cellIs" dxfId="72" priority="6" operator="equal">
      <formula>0</formula>
    </cfRule>
  </conditionalFormatting>
  <conditionalFormatting sqref="T4:T19">
    <cfRule type="cellIs" dxfId="71" priority="3" operator="equal">
      <formula>0</formula>
    </cfRule>
  </conditionalFormatting>
  <conditionalFormatting sqref="AH4:AO18 U19:AO19">
    <cfRule type="cellIs" dxfId="70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7"/>
  <sheetViews>
    <sheetView showGridLines="0" showRowColHeaders="0" topLeftCell="A4" zoomScaleNormal="100" workbookViewId="0">
      <selection activeCell="Q27" sqref="Q27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73"/>
      <c r="AL1" s="305" t="s">
        <v>41</v>
      </c>
      <c r="AM1" s="305"/>
      <c r="AN1" s="305"/>
      <c r="AO1" s="306"/>
    </row>
    <row r="2" spans="1:41" ht="121.5" customHeight="1" thickBot="1" x14ac:dyDescent="0.35">
      <c r="A2" s="324" t="s">
        <v>75</v>
      </c>
      <c r="B2" s="309" t="s">
        <v>42</v>
      </c>
      <c r="C2" s="311" t="s">
        <v>76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77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25"/>
      <c r="B3" s="310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2"/>
      <c r="AI3" s="298"/>
      <c r="AJ3" s="300"/>
      <c r="AK3" s="76"/>
      <c r="AL3" s="302"/>
      <c r="AM3" s="298"/>
      <c r="AN3" s="298"/>
      <c r="AO3" s="300"/>
    </row>
    <row r="4" spans="1:41" s="10" customFormat="1" ht="20.100000000000001" customHeight="1" x14ac:dyDescent="0.3">
      <c r="A4" s="177" t="s">
        <v>78</v>
      </c>
      <c r="B4" s="137">
        <v>32</v>
      </c>
      <c r="C4" s="160">
        <v>18</v>
      </c>
      <c r="D4" s="161">
        <v>33</v>
      </c>
      <c r="E4" s="161"/>
      <c r="F4" s="161">
        <v>48</v>
      </c>
      <c r="G4" s="161"/>
      <c r="H4" s="161">
        <v>26</v>
      </c>
      <c r="I4" s="161"/>
      <c r="J4" s="161">
        <v>39</v>
      </c>
      <c r="K4" s="161">
        <v>52</v>
      </c>
      <c r="L4" s="161">
        <v>33</v>
      </c>
      <c r="M4" s="161">
        <v>12</v>
      </c>
      <c r="N4" s="161"/>
      <c r="O4" s="162">
        <v>31</v>
      </c>
      <c r="P4" s="9">
        <f>SUM(C4:O4)</f>
        <v>292</v>
      </c>
      <c r="Q4" s="8">
        <f>COUNTIF(C4:O4,"&gt;0")</f>
        <v>9</v>
      </c>
      <c r="R4" s="8">
        <f>IF(P4=0," ",P4/Q4)</f>
        <v>32.444444444444443</v>
      </c>
      <c r="S4" s="94">
        <f>IF(P4=0," ",P4/(Q4*B4)*100)</f>
        <v>101.38888888888889</v>
      </c>
      <c r="T4" s="71">
        <v>32</v>
      </c>
      <c r="U4" s="160">
        <v>37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37</v>
      </c>
      <c r="AI4" s="8">
        <f>COUNTIF(U4:AG4,"&gt;0")</f>
        <v>1</v>
      </c>
      <c r="AJ4" s="94">
        <f>IF(AH4=0," ",AH4/AI4)</f>
        <v>37</v>
      </c>
      <c r="AK4" s="77"/>
      <c r="AL4" s="122">
        <f t="shared" ref="AL4" si="0">P4+AH4</f>
        <v>329</v>
      </c>
      <c r="AM4" s="123">
        <f t="shared" ref="AM4" si="1">Q4+AI4</f>
        <v>10</v>
      </c>
      <c r="AN4" s="8">
        <f>IF(AL4=0," ",AL4/AM4)</f>
        <v>32.9</v>
      </c>
      <c r="AO4" s="94">
        <f>IF(AL4=0," ",AL4/(AM4*T4)*100)</f>
        <v>102.8125</v>
      </c>
    </row>
    <row r="5" spans="1:41" s="10" customFormat="1" ht="20.100000000000001" customHeight="1" x14ac:dyDescent="0.3">
      <c r="A5" s="26" t="s">
        <v>79</v>
      </c>
      <c r="B5" s="70">
        <v>18</v>
      </c>
      <c r="C5" s="163">
        <v>11</v>
      </c>
      <c r="D5" s="164">
        <v>11</v>
      </c>
      <c r="E5" s="164">
        <v>6</v>
      </c>
      <c r="F5" s="164"/>
      <c r="G5" s="164">
        <v>26</v>
      </c>
      <c r="H5" s="164"/>
      <c r="I5" s="164">
        <v>17</v>
      </c>
      <c r="J5" s="164">
        <v>6</v>
      </c>
      <c r="K5" s="164">
        <v>20</v>
      </c>
      <c r="L5" s="164"/>
      <c r="M5" s="164"/>
      <c r="N5" s="164">
        <v>6</v>
      </c>
      <c r="O5" s="165">
        <v>14</v>
      </c>
      <c r="P5" s="13">
        <f t="shared" ref="P5:P18" si="2">SUM(C5:O5)</f>
        <v>117</v>
      </c>
      <c r="Q5" s="11">
        <f t="shared" ref="Q5:Q18" si="3">COUNTIF(C5:O5,"&gt;0")</f>
        <v>9</v>
      </c>
      <c r="R5" s="11">
        <f t="shared" ref="R5:R18" si="4">IF(P5=0," ",P5/Q5)</f>
        <v>13</v>
      </c>
      <c r="S5" s="12">
        <f t="shared" ref="S5:S18" si="5">IF(P5=0," ",P5/(Q5*B5)*100)</f>
        <v>72.222222222222214</v>
      </c>
      <c r="T5" s="70">
        <v>18</v>
      </c>
      <c r="U5" s="163">
        <v>28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28</v>
      </c>
      <c r="AI5" s="11">
        <f t="shared" ref="AI5:AI18" si="7">COUNTIF(U5:AG5,"&gt;0")</f>
        <v>1</v>
      </c>
      <c r="AJ5" s="12">
        <f t="shared" ref="AJ5:AJ18" si="8">IF(AH5=0," ",AH5/AI5)</f>
        <v>28</v>
      </c>
      <c r="AK5" s="77"/>
      <c r="AL5" s="124">
        <f t="shared" ref="AL5:AL18" si="9">P5+AH5</f>
        <v>145</v>
      </c>
      <c r="AM5" s="95">
        <f t="shared" ref="AM5:AM18" si="10">Q5+AI5</f>
        <v>10</v>
      </c>
      <c r="AN5" s="11">
        <f t="shared" ref="AN5:AN18" si="11">IF(AL5=0," ",AL5/AM5)</f>
        <v>14.5</v>
      </c>
      <c r="AO5" s="12">
        <f t="shared" ref="AO5:AO18" si="12">IF(AL5=0," ",AL5/(AM5*T5)*100)</f>
        <v>80.555555555555557</v>
      </c>
    </row>
    <row r="6" spans="1:41" s="10" customFormat="1" ht="20.100000000000001" customHeight="1" x14ac:dyDescent="0.3">
      <c r="A6" s="26" t="s">
        <v>80</v>
      </c>
      <c r="B6" s="70">
        <v>28</v>
      </c>
      <c r="C6" s="163"/>
      <c r="D6" s="164"/>
      <c r="E6" s="164">
        <v>27</v>
      </c>
      <c r="F6" s="164">
        <v>22</v>
      </c>
      <c r="G6" s="164"/>
      <c r="H6" s="164">
        <v>35</v>
      </c>
      <c r="I6" s="164">
        <v>35</v>
      </c>
      <c r="J6" s="164"/>
      <c r="K6" s="164">
        <v>26</v>
      </c>
      <c r="L6" s="164">
        <v>15</v>
      </c>
      <c r="M6" s="164"/>
      <c r="N6" s="164">
        <v>14</v>
      </c>
      <c r="O6" s="165"/>
      <c r="P6" s="13">
        <f t="shared" si="2"/>
        <v>174</v>
      </c>
      <c r="Q6" s="11">
        <f t="shared" si="3"/>
        <v>7</v>
      </c>
      <c r="R6" s="11">
        <f t="shared" si="4"/>
        <v>24.857142857142858</v>
      </c>
      <c r="S6" s="12">
        <f t="shared" si="5"/>
        <v>88.775510204081627</v>
      </c>
      <c r="T6" s="70">
        <v>28</v>
      </c>
      <c r="U6" s="163">
        <v>23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23</v>
      </c>
      <c r="AI6" s="11">
        <f t="shared" si="7"/>
        <v>1</v>
      </c>
      <c r="AJ6" s="12">
        <f t="shared" si="8"/>
        <v>23</v>
      </c>
      <c r="AK6" s="77"/>
      <c r="AL6" s="124">
        <f t="shared" si="9"/>
        <v>197</v>
      </c>
      <c r="AM6" s="95">
        <f t="shared" si="10"/>
        <v>8</v>
      </c>
      <c r="AN6" s="11">
        <f t="shared" si="11"/>
        <v>24.625</v>
      </c>
      <c r="AO6" s="12">
        <f t="shared" si="12"/>
        <v>87.946428571428569</v>
      </c>
    </row>
    <row r="7" spans="1:41" s="10" customFormat="1" ht="20.100000000000001" customHeight="1" x14ac:dyDescent="0.3">
      <c r="A7" s="26" t="s">
        <v>81</v>
      </c>
      <c r="B7" s="70">
        <v>15</v>
      </c>
      <c r="C7" s="163">
        <v>4</v>
      </c>
      <c r="D7" s="164"/>
      <c r="E7" s="164">
        <v>11</v>
      </c>
      <c r="F7" s="164">
        <v>13</v>
      </c>
      <c r="G7" s="164">
        <v>10</v>
      </c>
      <c r="H7" s="164">
        <v>13</v>
      </c>
      <c r="I7" s="164"/>
      <c r="J7" s="164">
        <v>7</v>
      </c>
      <c r="K7" s="164"/>
      <c r="L7" s="164">
        <v>11</v>
      </c>
      <c r="M7" s="164">
        <v>14</v>
      </c>
      <c r="N7" s="164"/>
      <c r="O7" s="165">
        <v>12</v>
      </c>
      <c r="P7" s="13">
        <f t="shared" si="2"/>
        <v>95</v>
      </c>
      <c r="Q7" s="11">
        <f t="shared" si="3"/>
        <v>9</v>
      </c>
      <c r="R7" s="11">
        <f t="shared" si="4"/>
        <v>10.555555555555555</v>
      </c>
      <c r="S7" s="12">
        <f t="shared" si="5"/>
        <v>70.370370370370367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95</v>
      </c>
      <c r="AM7" s="95">
        <f t="shared" si="10"/>
        <v>9</v>
      </c>
      <c r="AN7" s="11">
        <f t="shared" si="11"/>
        <v>10.555555555555555</v>
      </c>
      <c r="AO7" s="12">
        <f t="shared" si="12"/>
        <v>70.370370370370367</v>
      </c>
    </row>
    <row r="8" spans="1:41" s="10" customFormat="1" ht="20.100000000000001" customHeight="1" x14ac:dyDescent="0.3">
      <c r="A8" s="26" t="s">
        <v>345</v>
      </c>
      <c r="B8" s="70">
        <v>33</v>
      </c>
      <c r="C8" s="163"/>
      <c r="D8" s="164"/>
      <c r="E8" s="164"/>
      <c r="F8" s="164"/>
      <c r="G8" s="164"/>
      <c r="H8" s="164"/>
      <c r="I8" s="164">
        <v>28</v>
      </c>
      <c r="J8" s="164">
        <v>22</v>
      </c>
      <c r="K8" s="164"/>
      <c r="L8" s="164">
        <v>33</v>
      </c>
      <c r="M8" s="164"/>
      <c r="N8" s="164"/>
      <c r="O8" s="165"/>
      <c r="P8" s="13">
        <f t="shared" si="2"/>
        <v>83</v>
      </c>
      <c r="Q8" s="11">
        <f t="shared" si="3"/>
        <v>3</v>
      </c>
      <c r="R8" s="11">
        <f t="shared" si="4"/>
        <v>27.666666666666668</v>
      </c>
      <c r="S8" s="12">
        <f t="shared" si="5"/>
        <v>83.838383838383834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83</v>
      </c>
      <c r="AM8" s="95">
        <f t="shared" si="10"/>
        <v>3</v>
      </c>
      <c r="AN8" s="11">
        <f t="shared" si="11"/>
        <v>27.666666666666668</v>
      </c>
      <c r="AO8" s="12">
        <f t="shared" si="12"/>
        <v>83.838383838383834</v>
      </c>
    </row>
    <row r="9" spans="1:41" s="10" customFormat="1" ht="20.100000000000001" customHeight="1" x14ac:dyDescent="0.3">
      <c r="A9" s="26" t="s">
        <v>82</v>
      </c>
      <c r="B9" s="70">
        <v>125</v>
      </c>
      <c r="C9" s="163"/>
      <c r="D9" s="164">
        <v>70</v>
      </c>
      <c r="E9" s="164"/>
      <c r="F9" s="164">
        <v>91</v>
      </c>
      <c r="G9" s="164"/>
      <c r="H9" s="164"/>
      <c r="I9" s="164"/>
      <c r="J9" s="164"/>
      <c r="K9" s="164"/>
      <c r="L9" s="164">
        <v>89</v>
      </c>
      <c r="M9" s="164">
        <v>143</v>
      </c>
      <c r="N9" s="164"/>
      <c r="O9" s="165"/>
      <c r="P9" s="13">
        <f t="shared" si="2"/>
        <v>393</v>
      </c>
      <c r="Q9" s="11">
        <f t="shared" si="3"/>
        <v>4</v>
      </c>
      <c r="R9" s="11">
        <f t="shared" si="4"/>
        <v>98.25</v>
      </c>
      <c r="S9" s="12">
        <f t="shared" si="5"/>
        <v>78.600000000000009</v>
      </c>
      <c r="T9" s="70">
        <v>125</v>
      </c>
      <c r="U9" s="163">
        <v>122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122</v>
      </c>
      <c r="AI9" s="11">
        <f t="shared" si="7"/>
        <v>1</v>
      </c>
      <c r="AJ9" s="12">
        <f t="shared" si="8"/>
        <v>122</v>
      </c>
      <c r="AK9" s="77"/>
      <c r="AL9" s="124">
        <f t="shared" si="9"/>
        <v>515</v>
      </c>
      <c r="AM9" s="95">
        <f t="shared" si="10"/>
        <v>5</v>
      </c>
      <c r="AN9" s="11">
        <f t="shared" si="11"/>
        <v>103</v>
      </c>
      <c r="AO9" s="12">
        <f t="shared" si="12"/>
        <v>82.399999999999991</v>
      </c>
    </row>
    <row r="10" spans="1:41" s="10" customFormat="1" ht="20.100000000000001" customHeight="1" x14ac:dyDescent="0.3">
      <c r="A10" s="26" t="s">
        <v>284</v>
      </c>
      <c r="B10" s="70">
        <v>15</v>
      </c>
      <c r="C10" s="163"/>
      <c r="D10" s="164">
        <v>25</v>
      </c>
      <c r="E10" s="164"/>
      <c r="F10" s="164">
        <v>11</v>
      </c>
      <c r="G10" s="164"/>
      <c r="H10" s="164">
        <v>11</v>
      </c>
      <c r="I10" s="164">
        <v>5</v>
      </c>
      <c r="J10" s="164"/>
      <c r="K10" s="164">
        <v>28</v>
      </c>
      <c r="L10" s="164"/>
      <c r="M10" s="164">
        <v>12</v>
      </c>
      <c r="N10" s="164">
        <v>13</v>
      </c>
      <c r="O10" s="165"/>
      <c r="P10" s="13">
        <f t="shared" si="2"/>
        <v>105</v>
      </c>
      <c r="Q10" s="11">
        <f t="shared" si="3"/>
        <v>7</v>
      </c>
      <c r="R10" s="11">
        <f t="shared" si="4"/>
        <v>15</v>
      </c>
      <c r="S10" s="12">
        <f t="shared" si="5"/>
        <v>100</v>
      </c>
      <c r="T10" s="70">
        <v>15</v>
      </c>
      <c r="U10" s="163">
        <v>22</v>
      </c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22</v>
      </c>
      <c r="AI10" s="11">
        <f t="shared" si="7"/>
        <v>1</v>
      </c>
      <c r="AJ10" s="12">
        <f t="shared" si="8"/>
        <v>22</v>
      </c>
      <c r="AK10" s="77"/>
      <c r="AL10" s="124">
        <f t="shared" si="9"/>
        <v>127</v>
      </c>
      <c r="AM10" s="95">
        <f t="shared" si="10"/>
        <v>8</v>
      </c>
      <c r="AN10" s="11">
        <f t="shared" si="11"/>
        <v>15.875</v>
      </c>
      <c r="AO10" s="12">
        <f t="shared" si="12"/>
        <v>105.83333333333333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3"/>
      <c r="D11" s="164">
        <v>23</v>
      </c>
      <c r="E11" s="164"/>
      <c r="F11" s="164">
        <v>34</v>
      </c>
      <c r="G11" s="164">
        <v>40</v>
      </c>
      <c r="H11" s="164"/>
      <c r="I11" s="164">
        <v>35</v>
      </c>
      <c r="J11" s="164"/>
      <c r="K11" s="164"/>
      <c r="L11" s="164"/>
      <c r="M11" s="164"/>
      <c r="N11" s="164"/>
      <c r="O11" s="165">
        <v>21</v>
      </c>
      <c r="P11" s="13">
        <f t="shared" si="2"/>
        <v>153</v>
      </c>
      <c r="Q11" s="11">
        <f t="shared" si="3"/>
        <v>5</v>
      </c>
      <c r="R11" s="11">
        <f t="shared" si="4"/>
        <v>30.6</v>
      </c>
      <c r="S11" s="12">
        <f t="shared" si="5"/>
        <v>85</v>
      </c>
      <c r="T11" s="70">
        <v>36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153</v>
      </c>
      <c r="AM11" s="95">
        <f t="shared" si="10"/>
        <v>5</v>
      </c>
      <c r="AN11" s="11">
        <f t="shared" si="11"/>
        <v>30.6</v>
      </c>
      <c r="AO11" s="12">
        <f t="shared" si="12"/>
        <v>85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3">
        <v>4</v>
      </c>
      <c r="D12" s="164"/>
      <c r="E12" s="164">
        <v>7</v>
      </c>
      <c r="F12" s="164"/>
      <c r="G12" s="164">
        <v>15</v>
      </c>
      <c r="H12" s="164"/>
      <c r="I12" s="164">
        <v>9</v>
      </c>
      <c r="J12" s="164">
        <v>12</v>
      </c>
      <c r="K12" s="164"/>
      <c r="L12" s="164">
        <v>10</v>
      </c>
      <c r="M12" s="164"/>
      <c r="N12" s="164">
        <v>18</v>
      </c>
      <c r="O12" s="165"/>
      <c r="P12" s="13">
        <f t="shared" si="2"/>
        <v>75</v>
      </c>
      <c r="Q12" s="11">
        <f t="shared" si="3"/>
        <v>7</v>
      </c>
      <c r="R12" s="11">
        <f t="shared" si="4"/>
        <v>10.714285714285714</v>
      </c>
      <c r="S12" s="12">
        <f t="shared" si="5"/>
        <v>66.964285714285708</v>
      </c>
      <c r="T12" s="70">
        <v>16</v>
      </c>
      <c r="U12" s="163">
        <v>13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13</v>
      </c>
      <c r="AI12" s="11">
        <f t="shared" si="7"/>
        <v>1</v>
      </c>
      <c r="AJ12" s="12">
        <f t="shared" si="8"/>
        <v>13</v>
      </c>
      <c r="AK12" s="77"/>
      <c r="AL12" s="124">
        <f t="shared" si="9"/>
        <v>88</v>
      </c>
      <c r="AM12" s="95">
        <f t="shared" si="10"/>
        <v>8</v>
      </c>
      <c r="AN12" s="11">
        <f t="shared" si="11"/>
        <v>11</v>
      </c>
      <c r="AO12" s="12">
        <f t="shared" si="12"/>
        <v>68.75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3">
        <v>13</v>
      </c>
      <c r="D13" s="164"/>
      <c r="E13" s="164">
        <v>25</v>
      </c>
      <c r="F13" s="164"/>
      <c r="G13" s="164">
        <v>16</v>
      </c>
      <c r="H13" s="164">
        <v>13</v>
      </c>
      <c r="I13" s="164"/>
      <c r="J13" s="164"/>
      <c r="K13" s="164">
        <v>20</v>
      </c>
      <c r="L13" s="164"/>
      <c r="M13" s="164">
        <v>31</v>
      </c>
      <c r="N13" s="164">
        <v>7</v>
      </c>
      <c r="O13" s="165">
        <v>18</v>
      </c>
      <c r="P13" s="13">
        <f t="shared" si="2"/>
        <v>143</v>
      </c>
      <c r="Q13" s="11">
        <f t="shared" si="3"/>
        <v>8</v>
      </c>
      <c r="R13" s="11">
        <f t="shared" si="4"/>
        <v>17.875</v>
      </c>
      <c r="S13" s="12">
        <f t="shared" si="5"/>
        <v>111.71875</v>
      </c>
      <c r="T13" s="70">
        <v>16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143</v>
      </c>
      <c r="AM13" s="95">
        <f t="shared" si="10"/>
        <v>8</v>
      </c>
      <c r="AN13" s="11">
        <f t="shared" si="11"/>
        <v>17.875</v>
      </c>
      <c r="AO13" s="12">
        <f t="shared" si="12"/>
        <v>111.71875</v>
      </c>
    </row>
    <row r="14" spans="1:41" s="10" customFormat="1" ht="20.100000000000001" customHeight="1" x14ac:dyDescent="0.3">
      <c r="A14" s="26" t="s">
        <v>340</v>
      </c>
      <c r="B14" s="131">
        <v>15</v>
      </c>
      <c r="C14" s="163">
        <v>22</v>
      </c>
      <c r="D14" s="164">
        <v>10</v>
      </c>
      <c r="E14" s="164">
        <v>9</v>
      </c>
      <c r="F14" s="164"/>
      <c r="G14" s="164">
        <v>10</v>
      </c>
      <c r="H14" s="164">
        <v>9</v>
      </c>
      <c r="I14" s="164"/>
      <c r="J14" s="164">
        <v>14</v>
      </c>
      <c r="K14" s="164">
        <v>13</v>
      </c>
      <c r="L14" s="164"/>
      <c r="M14" s="164">
        <v>14</v>
      </c>
      <c r="N14" s="164">
        <v>16</v>
      </c>
      <c r="O14" s="165">
        <v>13</v>
      </c>
      <c r="P14" s="13">
        <f t="shared" si="2"/>
        <v>130</v>
      </c>
      <c r="Q14" s="11">
        <f t="shared" si="3"/>
        <v>10</v>
      </c>
      <c r="R14" s="11">
        <f t="shared" si="4"/>
        <v>13</v>
      </c>
      <c r="S14" s="12">
        <f t="shared" si="5"/>
        <v>86.666666666666671</v>
      </c>
      <c r="T14" s="276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130</v>
      </c>
      <c r="AM14" s="95">
        <f t="shared" si="10"/>
        <v>10</v>
      </c>
      <c r="AN14" s="11">
        <f t="shared" si="11"/>
        <v>13</v>
      </c>
      <c r="AO14" s="12">
        <f t="shared" si="12"/>
        <v>86.666666666666671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100</v>
      </c>
      <c r="K19" s="19">
        <f t="shared" si="14"/>
        <v>159</v>
      </c>
      <c r="L19" s="19">
        <f t="shared" si="14"/>
        <v>191</v>
      </c>
      <c r="M19" s="19">
        <f t="shared" si="14"/>
        <v>226</v>
      </c>
      <c r="N19" s="19">
        <f t="shared" si="14"/>
        <v>74</v>
      </c>
      <c r="O19" s="19">
        <f>SUM(O4:O18)</f>
        <v>109</v>
      </c>
      <c r="P19" s="19">
        <f>SUM(P4:P18)</f>
        <v>1760</v>
      </c>
      <c r="Q19" s="19">
        <f>SUM(Q4:Q18)</f>
        <v>78</v>
      </c>
      <c r="R19" s="19">
        <f>P19/Q19</f>
        <v>22.564102564102566</v>
      </c>
      <c r="S19" s="22"/>
      <c r="T19" s="179">
        <f>SUM(T4:T18)</f>
        <v>349</v>
      </c>
      <c r="U19" s="21">
        <f>SUM(U4:U18)</f>
        <v>245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245</v>
      </c>
      <c r="AI19" s="18">
        <f>SUM(AI4:AI18)</f>
        <v>6</v>
      </c>
      <c r="AJ19" s="23">
        <f>AH19/AI19</f>
        <v>40.833333333333336</v>
      </c>
      <c r="AK19" s="78"/>
      <c r="AL19" s="24">
        <f>SUM(AL4:AL18)</f>
        <v>2005</v>
      </c>
      <c r="AM19" s="18">
        <f>SUM(AM4:AM18)</f>
        <v>84</v>
      </c>
      <c r="AN19" s="18">
        <f t="shared" ref="AN19" si="16">AL19/AM19</f>
        <v>23.86904761904762</v>
      </c>
      <c r="AO19" s="20"/>
    </row>
    <row r="24" spans="1:41" x14ac:dyDescent="0.3">
      <c r="A24"/>
    </row>
    <row r="27" spans="1:41" x14ac:dyDescent="0.3">
      <c r="Q27" t="s">
        <v>372</v>
      </c>
    </row>
  </sheetData>
  <sortState xmlns:xlrd2="http://schemas.microsoft.com/office/spreadsheetml/2017/richdata2" ref="A5:B17">
    <sortCondition ref="A5:A17"/>
  </sortState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9" priority="7" operator="equal">
      <formula>0</formula>
    </cfRule>
  </conditionalFormatting>
  <conditionalFormatting sqref="A19 C19:S19 U19:AO19">
    <cfRule type="containsErrors" dxfId="68" priority="9">
      <formula>ISERROR(A19)</formula>
    </cfRule>
  </conditionalFormatting>
  <conditionalFormatting sqref="B4:B19 T4:T19">
    <cfRule type="cellIs" dxfId="67" priority="6" operator="equal">
      <formula>0</formula>
    </cfRule>
  </conditionalFormatting>
  <conditionalFormatting sqref="P4:S18 C19:S19">
    <cfRule type="cellIs" dxfId="66" priority="2" operator="equal">
      <formula>0</formula>
    </cfRule>
  </conditionalFormatting>
  <conditionalFormatting sqref="AH4:AO18 U19:AO19">
    <cfRule type="cellIs" dxfId="65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topLeftCell="A2" zoomScale="145" zoomScaleNormal="145" workbookViewId="0">
      <selection activeCell="U12" sqref="U12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73"/>
      <c r="AL1" s="305" t="s">
        <v>41</v>
      </c>
      <c r="AM1" s="305"/>
      <c r="AN1" s="305"/>
      <c r="AO1" s="306"/>
    </row>
    <row r="2" spans="1:41" ht="121.5" customHeight="1" thickBot="1" x14ac:dyDescent="0.35">
      <c r="A2" s="324" t="s">
        <v>86</v>
      </c>
      <c r="B2" s="309" t="s">
        <v>42</v>
      </c>
      <c r="C2" s="311" t="s">
        <v>87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88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25"/>
      <c r="B3" s="310"/>
      <c r="C3" s="6">
        <v>1</v>
      </c>
      <c r="D3" s="2">
        <v>2</v>
      </c>
      <c r="E3" s="2">
        <v>3</v>
      </c>
      <c r="F3" s="271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2"/>
      <c r="AI3" s="298"/>
      <c r="AJ3" s="300"/>
      <c r="AK3" s="76"/>
      <c r="AL3" s="302"/>
      <c r="AM3" s="298"/>
      <c r="AN3" s="298"/>
      <c r="AO3" s="300"/>
    </row>
    <row r="4" spans="1:41" s="10" customFormat="1" ht="20.100000000000001" customHeight="1" x14ac:dyDescent="0.3">
      <c r="A4" s="177" t="s">
        <v>336</v>
      </c>
      <c r="B4" s="137">
        <v>15</v>
      </c>
      <c r="C4" s="160">
        <v>16</v>
      </c>
      <c r="D4" s="161"/>
      <c r="E4" s="161">
        <v>6</v>
      </c>
      <c r="F4" s="161"/>
      <c r="G4" s="161">
        <v>14</v>
      </c>
      <c r="H4" s="161"/>
      <c r="I4" s="161"/>
      <c r="J4" s="161"/>
      <c r="K4" s="161">
        <v>7</v>
      </c>
      <c r="L4" s="161"/>
      <c r="M4" s="161"/>
      <c r="N4" s="161">
        <v>12</v>
      </c>
      <c r="O4" s="162">
        <v>13</v>
      </c>
      <c r="P4" s="9">
        <f>SUM(C4:O4)</f>
        <v>68</v>
      </c>
      <c r="Q4" s="8">
        <f>COUNTIF(C4:O4,"&gt;0")</f>
        <v>6</v>
      </c>
      <c r="R4" s="8">
        <f>IF(P4=0," ",P4/Q4)</f>
        <v>11.333333333333334</v>
      </c>
      <c r="S4" s="94">
        <f t="shared" ref="S4" si="0">IF(P4=0," ",P4/(Q4*T4)*100)</f>
        <v>75.555555555555557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68</v>
      </c>
      <c r="AM4" s="123">
        <f t="shared" ref="AM4" si="2">Q4+AI4</f>
        <v>6</v>
      </c>
      <c r="AN4" s="8">
        <f>IF(AL4=0," ",AL4/AM4)</f>
        <v>11.333333333333334</v>
      </c>
      <c r="AO4" s="94">
        <f>IF(AL4=0," ",AL4/(AM4*T4)*100)</f>
        <v>75.555555555555557</v>
      </c>
    </row>
    <row r="5" spans="1:41" s="10" customFormat="1" ht="20.100000000000001" customHeight="1" x14ac:dyDescent="0.3">
      <c r="A5" s="26" t="s">
        <v>89</v>
      </c>
      <c r="B5" s="70">
        <v>38</v>
      </c>
      <c r="C5" s="163">
        <v>38</v>
      </c>
      <c r="D5" s="164">
        <v>60</v>
      </c>
      <c r="E5" s="164">
        <v>23</v>
      </c>
      <c r="F5" s="164">
        <v>39</v>
      </c>
      <c r="G5" s="164"/>
      <c r="H5" s="164"/>
      <c r="I5" s="164">
        <v>38</v>
      </c>
      <c r="J5" s="164">
        <v>42</v>
      </c>
      <c r="K5" s="164"/>
      <c r="L5" s="164">
        <v>53</v>
      </c>
      <c r="M5" s="164">
        <v>80</v>
      </c>
      <c r="N5" s="164">
        <v>38</v>
      </c>
      <c r="O5" s="165">
        <v>44</v>
      </c>
      <c r="P5" s="13">
        <f t="shared" ref="P5:P18" si="3">SUM(C5:O5)</f>
        <v>455</v>
      </c>
      <c r="Q5" s="11">
        <f t="shared" ref="Q5:Q18" si="4">COUNTIF(C5:O5,"&gt;0")</f>
        <v>10</v>
      </c>
      <c r="R5" s="11">
        <f t="shared" ref="R5:R18" si="5">IF(P5=0," ",P5/Q5)</f>
        <v>45.5</v>
      </c>
      <c r="S5" s="12">
        <f t="shared" ref="S5:S18" si="6">IF(P5=0," ",P5/(Q5*T5)*100)</f>
        <v>119.73684210526316</v>
      </c>
      <c r="T5" s="70">
        <v>38</v>
      </c>
      <c r="U5" s="163">
        <v>54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54</v>
      </c>
      <c r="AI5" s="11">
        <f t="shared" ref="AI5:AI18" si="8">COUNTIF(U5:AG5,"&gt;0")</f>
        <v>1</v>
      </c>
      <c r="AJ5" s="12">
        <f t="shared" ref="AJ5:AJ18" si="9">IF(AH5=0," ",AH5/AI5)</f>
        <v>54</v>
      </c>
      <c r="AK5" s="77"/>
      <c r="AL5" s="124">
        <f t="shared" ref="AL5:AL18" si="10">P5+AH5</f>
        <v>509</v>
      </c>
      <c r="AM5" s="95">
        <f t="shared" ref="AM5:AM18" si="11">Q5+AI5</f>
        <v>11</v>
      </c>
      <c r="AN5" s="11">
        <f t="shared" ref="AN5:AN18" si="12">IF(AL5=0," ",AL5/AM5)</f>
        <v>46.272727272727273</v>
      </c>
      <c r="AO5" s="12">
        <f t="shared" ref="AO5:AO18" si="13">IF(AL5=0," ",AL5/(AM5*T5)*100)</f>
        <v>121.77033492822966</v>
      </c>
    </row>
    <row r="6" spans="1:41" s="10" customFormat="1" ht="20.100000000000001" customHeight="1" x14ac:dyDescent="0.3">
      <c r="A6" s="69" t="s">
        <v>307</v>
      </c>
      <c r="B6" s="70">
        <v>32</v>
      </c>
      <c r="C6" s="163"/>
      <c r="D6" s="164"/>
      <c r="E6" s="164"/>
      <c r="F6" s="164">
        <v>21</v>
      </c>
      <c r="G6" s="164"/>
      <c r="H6" s="164"/>
      <c r="I6" s="164"/>
      <c r="J6" s="164"/>
      <c r="K6" s="164"/>
      <c r="L6" s="164"/>
      <c r="M6" s="164">
        <v>15</v>
      </c>
      <c r="N6" s="164"/>
      <c r="O6" s="165"/>
      <c r="P6" s="13">
        <f t="shared" si="3"/>
        <v>36</v>
      </c>
      <c r="Q6" s="11">
        <f t="shared" si="4"/>
        <v>2</v>
      </c>
      <c r="R6" s="11">
        <f t="shared" si="5"/>
        <v>18</v>
      </c>
      <c r="S6" s="12">
        <f t="shared" si="6"/>
        <v>56.25</v>
      </c>
      <c r="T6" s="70">
        <v>32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36</v>
      </c>
      <c r="AM6" s="95">
        <f t="shared" si="11"/>
        <v>2</v>
      </c>
      <c r="AN6" s="11">
        <f t="shared" si="12"/>
        <v>18</v>
      </c>
      <c r="AO6" s="12">
        <f t="shared" si="13"/>
        <v>56.25</v>
      </c>
    </row>
    <row r="7" spans="1:41" s="10" customFormat="1" ht="20.100000000000001" customHeight="1" x14ac:dyDescent="0.3">
      <c r="A7" s="26" t="s">
        <v>90</v>
      </c>
      <c r="B7" s="70">
        <v>34</v>
      </c>
      <c r="C7" s="163"/>
      <c r="D7" s="164">
        <v>35</v>
      </c>
      <c r="E7" s="164">
        <v>28</v>
      </c>
      <c r="F7" s="164">
        <v>35</v>
      </c>
      <c r="G7" s="164"/>
      <c r="H7" s="164">
        <v>29</v>
      </c>
      <c r="I7" s="164"/>
      <c r="J7" s="164">
        <v>39</v>
      </c>
      <c r="K7" s="164"/>
      <c r="L7" s="164">
        <v>40</v>
      </c>
      <c r="M7" s="164"/>
      <c r="N7" s="164">
        <v>25</v>
      </c>
      <c r="O7" s="165"/>
      <c r="P7" s="13">
        <f t="shared" si="3"/>
        <v>231</v>
      </c>
      <c r="Q7" s="11">
        <f t="shared" si="4"/>
        <v>7</v>
      </c>
      <c r="R7" s="11">
        <f t="shared" si="5"/>
        <v>33</v>
      </c>
      <c r="S7" s="12">
        <f t="shared" si="6"/>
        <v>97.058823529411768</v>
      </c>
      <c r="T7" s="70">
        <v>34</v>
      </c>
      <c r="U7" s="163">
        <v>30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30</v>
      </c>
      <c r="AI7" s="11">
        <f t="shared" si="8"/>
        <v>1</v>
      </c>
      <c r="AJ7" s="12">
        <f t="shared" si="9"/>
        <v>30</v>
      </c>
      <c r="AK7" s="77"/>
      <c r="AL7" s="124">
        <f t="shared" si="10"/>
        <v>261</v>
      </c>
      <c r="AM7" s="95">
        <f t="shared" si="11"/>
        <v>8</v>
      </c>
      <c r="AN7" s="11">
        <f t="shared" si="12"/>
        <v>32.625</v>
      </c>
      <c r="AO7" s="12">
        <f t="shared" si="13"/>
        <v>95.955882352941174</v>
      </c>
    </row>
    <row r="8" spans="1:41" s="10" customFormat="1" ht="20.100000000000001" customHeight="1" x14ac:dyDescent="0.3">
      <c r="A8" s="26" t="s">
        <v>91</v>
      </c>
      <c r="B8" s="70">
        <v>80</v>
      </c>
      <c r="C8" s="163"/>
      <c r="D8" s="164"/>
      <c r="E8" s="164">
        <v>58</v>
      </c>
      <c r="F8" s="164"/>
      <c r="G8" s="164">
        <v>68</v>
      </c>
      <c r="H8" s="164"/>
      <c r="I8" s="164">
        <v>75</v>
      </c>
      <c r="J8" s="164"/>
      <c r="K8" s="164"/>
      <c r="L8" s="164">
        <v>48</v>
      </c>
      <c r="M8" s="164">
        <v>77</v>
      </c>
      <c r="N8" s="164"/>
      <c r="O8" s="165"/>
      <c r="P8" s="13">
        <f t="shared" si="3"/>
        <v>326</v>
      </c>
      <c r="Q8" s="11">
        <f t="shared" si="4"/>
        <v>5</v>
      </c>
      <c r="R8" s="11">
        <f t="shared" si="5"/>
        <v>65.2</v>
      </c>
      <c r="S8" s="12">
        <f t="shared" si="6"/>
        <v>81.5</v>
      </c>
      <c r="T8" s="70">
        <v>80</v>
      </c>
      <c r="U8" s="163">
        <v>57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57</v>
      </c>
      <c r="AI8" s="11">
        <f t="shared" si="8"/>
        <v>1</v>
      </c>
      <c r="AJ8" s="12">
        <f t="shared" si="9"/>
        <v>57</v>
      </c>
      <c r="AK8" s="77"/>
      <c r="AL8" s="124">
        <f t="shared" si="10"/>
        <v>383</v>
      </c>
      <c r="AM8" s="95">
        <f t="shared" si="11"/>
        <v>6</v>
      </c>
      <c r="AN8" s="11">
        <f t="shared" si="12"/>
        <v>63.833333333333336</v>
      </c>
      <c r="AO8" s="12">
        <f t="shared" si="13"/>
        <v>79.791666666666671</v>
      </c>
    </row>
    <row r="9" spans="1:41" s="10" customFormat="1" ht="20.100000000000001" customHeight="1" x14ac:dyDescent="0.3">
      <c r="A9" s="26" t="s">
        <v>92</v>
      </c>
      <c r="B9" s="70">
        <v>27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3"/>
      <c r="D10" s="164">
        <v>38</v>
      </c>
      <c r="E10" s="164"/>
      <c r="F10" s="164"/>
      <c r="G10" s="164"/>
      <c r="H10" s="164"/>
      <c r="I10" s="164"/>
      <c r="J10" s="164">
        <v>32</v>
      </c>
      <c r="K10" s="164"/>
      <c r="L10" s="164"/>
      <c r="M10" s="164"/>
      <c r="N10" s="164"/>
      <c r="O10" s="165"/>
      <c r="P10" s="13">
        <f t="shared" si="3"/>
        <v>70</v>
      </c>
      <c r="Q10" s="11">
        <f t="shared" si="4"/>
        <v>2</v>
      </c>
      <c r="R10" s="11">
        <f t="shared" si="5"/>
        <v>35</v>
      </c>
      <c r="S10" s="12">
        <f t="shared" si="6"/>
        <v>120.68965517241379</v>
      </c>
      <c r="T10" s="70">
        <v>29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11">
        <f t="shared" si="12"/>
        <v>35</v>
      </c>
      <c r="AO10" s="12">
        <f t="shared" si="13"/>
        <v>120.68965517241379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3">
        <v>23</v>
      </c>
      <c r="D11" s="164"/>
      <c r="E11" s="164">
        <v>13</v>
      </c>
      <c r="F11" s="164"/>
      <c r="G11" s="164">
        <v>18</v>
      </c>
      <c r="H11" s="164"/>
      <c r="I11" s="164">
        <v>37</v>
      </c>
      <c r="J11" s="164">
        <v>34</v>
      </c>
      <c r="K11" s="164">
        <v>35</v>
      </c>
      <c r="L11" s="164">
        <v>13</v>
      </c>
      <c r="M11" s="164">
        <v>25</v>
      </c>
      <c r="N11" s="164"/>
      <c r="O11" s="165">
        <v>28</v>
      </c>
      <c r="P11" s="13">
        <f t="shared" si="3"/>
        <v>226</v>
      </c>
      <c r="Q11" s="11">
        <f t="shared" si="4"/>
        <v>9</v>
      </c>
      <c r="R11" s="11">
        <f t="shared" si="5"/>
        <v>25.111111111111111</v>
      </c>
      <c r="S11" s="12">
        <f t="shared" si="6"/>
        <v>114.14141414141415</v>
      </c>
      <c r="T11" s="70">
        <v>22</v>
      </c>
      <c r="U11" s="163">
        <v>25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25</v>
      </c>
      <c r="AI11" s="11">
        <f t="shared" si="8"/>
        <v>1</v>
      </c>
      <c r="AJ11" s="12">
        <f t="shared" si="9"/>
        <v>25</v>
      </c>
      <c r="AK11" s="77"/>
      <c r="AL11" s="124">
        <f t="shared" si="10"/>
        <v>251</v>
      </c>
      <c r="AM11" s="95">
        <f t="shared" si="11"/>
        <v>10</v>
      </c>
      <c r="AN11" s="11">
        <f t="shared" si="12"/>
        <v>25.1</v>
      </c>
      <c r="AO11" s="12">
        <f t="shared" si="13"/>
        <v>114.09090909090909</v>
      </c>
    </row>
    <row r="12" spans="1:41" s="10" customFormat="1" ht="20.100000000000001" customHeight="1" x14ac:dyDescent="0.3">
      <c r="A12" s="26" t="s">
        <v>370</v>
      </c>
      <c r="B12" s="131">
        <v>22</v>
      </c>
      <c r="C12" s="163">
        <v>20</v>
      </c>
      <c r="D12" s="164"/>
      <c r="E12" s="164"/>
      <c r="F12" s="164"/>
      <c r="G12" s="164"/>
      <c r="H12" s="164">
        <v>24</v>
      </c>
      <c r="I12" s="164"/>
      <c r="J12" s="164"/>
      <c r="K12" s="164">
        <v>23</v>
      </c>
      <c r="L12" s="164"/>
      <c r="M12" s="164">
        <v>25</v>
      </c>
      <c r="N12" s="164"/>
      <c r="O12" s="165"/>
      <c r="P12" s="13">
        <f t="shared" si="3"/>
        <v>92</v>
      </c>
      <c r="Q12" s="11">
        <f t="shared" si="4"/>
        <v>4</v>
      </c>
      <c r="R12" s="11">
        <f t="shared" si="5"/>
        <v>23</v>
      </c>
      <c r="S12" s="12">
        <f t="shared" si="6"/>
        <v>100</v>
      </c>
      <c r="T12" s="276">
        <v>23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92</v>
      </c>
      <c r="AM12" s="95">
        <f t="shared" si="11"/>
        <v>4</v>
      </c>
      <c r="AN12" s="11">
        <f t="shared" si="12"/>
        <v>23</v>
      </c>
      <c r="AO12" s="12">
        <f t="shared" si="13"/>
        <v>100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3">
        <v>25</v>
      </c>
      <c r="D13" s="164"/>
      <c r="E13" s="164">
        <v>35</v>
      </c>
      <c r="F13" s="164"/>
      <c r="G13" s="164">
        <v>29</v>
      </c>
      <c r="H13" s="164">
        <v>66</v>
      </c>
      <c r="I13" s="164">
        <v>37</v>
      </c>
      <c r="J13" s="164"/>
      <c r="K13" s="164">
        <v>39</v>
      </c>
      <c r="L13" s="164"/>
      <c r="M13" s="164"/>
      <c r="N13" s="164">
        <v>37</v>
      </c>
      <c r="O13" s="165">
        <v>44</v>
      </c>
      <c r="P13" s="13">
        <f t="shared" si="3"/>
        <v>312</v>
      </c>
      <c r="Q13" s="11">
        <f t="shared" si="4"/>
        <v>8</v>
      </c>
      <c r="R13" s="11">
        <f t="shared" si="5"/>
        <v>39</v>
      </c>
      <c r="S13" s="12">
        <f t="shared" si="6"/>
        <v>118.18181818181819</v>
      </c>
      <c r="T13" s="70">
        <v>33</v>
      </c>
      <c r="U13" s="163">
        <v>35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35</v>
      </c>
      <c r="AI13" s="11">
        <f t="shared" si="8"/>
        <v>1</v>
      </c>
      <c r="AJ13" s="12">
        <f t="shared" si="9"/>
        <v>35</v>
      </c>
      <c r="AK13" s="77"/>
      <c r="AL13" s="124">
        <f t="shared" si="10"/>
        <v>347</v>
      </c>
      <c r="AM13" s="95">
        <f t="shared" si="11"/>
        <v>9</v>
      </c>
      <c r="AN13" s="11">
        <f t="shared" si="12"/>
        <v>38.555555555555557</v>
      </c>
      <c r="AO13" s="12">
        <f t="shared" si="13"/>
        <v>116.83501683501683</v>
      </c>
    </row>
    <row r="14" spans="1:41" s="10" customFormat="1" ht="20.100000000000001" customHeight="1" x14ac:dyDescent="0.3">
      <c r="A14" s="26" t="s">
        <v>317</v>
      </c>
      <c r="B14" s="70">
        <v>39</v>
      </c>
      <c r="C14" s="163">
        <v>27</v>
      </c>
      <c r="D14" s="164">
        <v>44</v>
      </c>
      <c r="E14" s="164"/>
      <c r="F14" s="164">
        <v>27</v>
      </c>
      <c r="G14" s="164"/>
      <c r="H14" s="164">
        <v>43</v>
      </c>
      <c r="I14" s="164">
        <v>37</v>
      </c>
      <c r="J14" s="164">
        <v>29</v>
      </c>
      <c r="K14" s="164"/>
      <c r="L14" s="164">
        <v>23</v>
      </c>
      <c r="M14" s="164"/>
      <c r="N14" s="164">
        <v>56</v>
      </c>
      <c r="O14" s="165">
        <v>37</v>
      </c>
      <c r="P14" s="13">
        <f t="shared" si="3"/>
        <v>323</v>
      </c>
      <c r="Q14" s="11">
        <f t="shared" si="4"/>
        <v>9</v>
      </c>
      <c r="R14" s="11">
        <f t="shared" si="5"/>
        <v>35.888888888888886</v>
      </c>
      <c r="S14" s="12">
        <f t="shared" si="6"/>
        <v>92.022792022792018</v>
      </c>
      <c r="T14" s="70">
        <v>39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323</v>
      </c>
      <c r="AM14" s="95">
        <f t="shared" si="11"/>
        <v>9</v>
      </c>
      <c r="AN14" s="11">
        <f t="shared" si="12"/>
        <v>35.888888888888886</v>
      </c>
      <c r="AO14" s="12">
        <f t="shared" si="13"/>
        <v>92.022792022792018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3"/>
      <c r="D15" s="164">
        <v>60</v>
      </c>
      <c r="E15" s="164"/>
      <c r="F15" s="164">
        <v>66</v>
      </c>
      <c r="G15" s="164">
        <v>52</v>
      </c>
      <c r="H15" s="164">
        <v>62</v>
      </c>
      <c r="I15" s="164"/>
      <c r="J15" s="164"/>
      <c r="K15" s="164">
        <v>83</v>
      </c>
      <c r="L15" s="164">
        <v>51</v>
      </c>
      <c r="M15" s="164"/>
      <c r="N15" s="164"/>
      <c r="O15" s="165"/>
      <c r="P15" s="13">
        <f t="shared" ref="P15:P17" si="14">SUM(C15:O15)</f>
        <v>374</v>
      </c>
      <c r="Q15" s="11">
        <f t="shared" ref="Q15:Q17" si="15">COUNTIF(C15:O15,"&gt;0")</f>
        <v>6</v>
      </c>
      <c r="R15" s="11">
        <f t="shared" ref="R15:R17" si="16">IF(P15=0," ",P15/Q15)</f>
        <v>62.333333333333336</v>
      </c>
      <c r="S15" s="12">
        <f t="shared" ref="S15:S17" si="17">IF(P15=0," ",P15/(Q15*T15)*100)</f>
        <v>105.64971751412429</v>
      </c>
      <c r="T15" s="70">
        <v>59</v>
      </c>
      <c r="U15" s="163">
        <v>52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52</v>
      </c>
      <c r="AI15" s="11">
        <f t="shared" si="8"/>
        <v>1</v>
      </c>
      <c r="AJ15" s="12">
        <f t="shared" si="9"/>
        <v>52</v>
      </c>
      <c r="AK15" s="77"/>
      <c r="AL15" s="124">
        <f t="shared" si="10"/>
        <v>426</v>
      </c>
      <c r="AM15" s="95">
        <f t="shared" si="11"/>
        <v>7</v>
      </c>
      <c r="AN15" s="11">
        <f t="shared" si="12"/>
        <v>60.857142857142854</v>
      </c>
      <c r="AO15" s="12">
        <f t="shared" si="13"/>
        <v>103.14769975786926</v>
      </c>
    </row>
    <row r="16" spans="1:41" s="10" customFormat="1" ht="20.100000000000001" customHeight="1" x14ac:dyDescent="0.3">
      <c r="A16" s="26" t="s">
        <v>356</v>
      </c>
      <c r="B16" s="70">
        <v>32</v>
      </c>
      <c r="C16" s="163"/>
      <c r="D16" s="164">
        <v>40</v>
      </c>
      <c r="E16" s="164"/>
      <c r="F16" s="164">
        <v>23</v>
      </c>
      <c r="G16" s="164">
        <v>39</v>
      </c>
      <c r="H16" s="164">
        <v>36</v>
      </c>
      <c r="I16" s="164">
        <v>29</v>
      </c>
      <c r="J16" s="164">
        <v>38</v>
      </c>
      <c r="K16" s="164">
        <v>29</v>
      </c>
      <c r="L16" s="164"/>
      <c r="M16" s="164">
        <v>33</v>
      </c>
      <c r="N16" s="164">
        <v>18</v>
      </c>
      <c r="O16" s="165">
        <v>32</v>
      </c>
      <c r="P16" s="13">
        <f t="shared" si="14"/>
        <v>317</v>
      </c>
      <c r="Q16" s="11">
        <f t="shared" si="15"/>
        <v>10</v>
      </c>
      <c r="R16" s="11">
        <f t="shared" si="16"/>
        <v>31.7</v>
      </c>
      <c r="S16" s="12">
        <f t="shared" si="17"/>
        <v>99.0625</v>
      </c>
      <c r="T16" s="70">
        <v>32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317</v>
      </c>
      <c r="AM16" s="95">
        <f t="shared" si="11"/>
        <v>10</v>
      </c>
      <c r="AN16" s="11">
        <f t="shared" si="12"/>
        <v>31.7</v>
      </c>
      <c r="AO16" s="12">
        <f t="shared" si="13"/>
        <v>99.0625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0">
        <f>SUM(T4:T17)</f>
        <v>463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214</v>
      </c>
      <c r="K19" s="19">
        <f t="shared" si="19"/>
        <v>216</v>
      </c>
      <c r="L19" s="19">
        <f t="shared" si="19"/>
        <v>228</v>
      </c>
      <c r="M19" s="19">
        <f t="shared" si="19"/>
        <v>255</v>
      </c>
      <c r="N19" s="19">
        <f t="shared" si="19"/>
        <v>186</v>
      </c>
      <c r="O19" s="19">
        <f>SUM(O4:O18)</f>
        <v>198</v>
      </c>
      <c r="P19" s="19">
        <f>SUM(P4:P18)</f>
        <v>2830</v>
      </c>
      <c r="Q19" s="19">
        <f>SUM(Q4:Q18)</f>
        <v>78</v>
      </c>
      <c r="R19" s="19">
        <f>P19/Q19</f>
        <v>36.282051282051285</v>
      </c>
      <c r="S19" s="22"/>
      <c r="T19" s="179">
        <f>SUM(T4:T18)</f>
        <v>463</v>
      </c>
      <c r="U19" s="21">
        <f>SUM(U4:U18)</f>
        <v>253</v>
      </c>
      <c r="V19" s="19">
        <f>SUM(V4:V18)</f>
        <v>0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253</v>
      </c>
      <c r="AI19" s="18">
        <f>SUM(V4:V18)</f>
        <v>0</v>
      </c>
      <c r="AJ19" s="23">
        <f>AH19/AH19</f>
        <v>1</v>
      </c>
      <c r="AK19" s="78"/>
      <c r="AL19" s="24">
        <f>SUM(AL4:AL18)</f>
        <v>3083</v>
      </c>
      <c r="AM19" s="18">
        <f>SUM(AM4:AM18)</f>
        <v>84</v>
      </c>
      <c r="AN19" s="18">
        <f t="shared" ref="AN19" si="21">AL19/AM19</f>
        <v>36.702380952380949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4" priority="10" operator="equal">
      <formula>0</formula>
    </cfRule>
  </conditionalFormatting>
  <conditionalFormatting sqref="A19 C19:S19 U19:AO19">
    <cfRule type="containsErrors" dxfId="63" priority="12">
      <formula>ISERROR(A19)</formula>
    </cfRule>
  </conditionalFormatting>
  <conditionalFormatting sqref="B4:B19">
    <cfRule type="cellIs" dxfId="62" priority="9" operator="equal">
      <formula>0</formula>
    </cfRule>
  </conditionalFormatting>
  <conditionalFormatting sqref="P4:S18 C19:S19">
    <cfRule type="cellIs" dxfId="61" priority="5" operator="equal">
      <formula>0</formula>
    </cfRule>
  </conditionalFormatting>
  <conditionalFormatting sqref="T4:T19">
    <cfRule type="cellIs" dxfId="60" priority="1" operator="equal">
      <formula>0</formula>
    </cfRule>
  </conditionalFormatting>
  <conditionalFormatting sqref="AH4:AO18 U19:AO19">
    <cfRule type="cellIs" dxfId="59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topLeftCell="A2" zoomScaleNormal="100" workbookViewId="0">
      <selection activeCell="A34" sqref="A3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73"/>
      <c r="AL1" s="305" t="s">
        <v>41</v>
      </c>
      <c r="AM1" s="305"/>
      <c r="AN1" s="305"/>
      <c r="AO1" s="306"/>
    </row>
    <row r="2" spans="1:41" ht="121.5" customHeight="1" thickBot="1" x14ac:dyDescent="0.35">
      <c r="A2" s="324" t="s">
        <v>97</v>
      </c>
      <c r="B2" s="309" t="s">
        <v>42</v>
      </c>
      <c r="C2" s="311" t="s">
        <v>98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99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25"/>
      <c r="B3" s="31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2"/>
      <c r="AI3" s="298"/>
      <c r="AJ3" s="300"/>
      <c r="AK3" s="76"/>
      <c r="AL3" s="302"/>
      <c r="AM3" s="298"/>
      <c r="AN3" s="298"/>
      <c r="AO3" s="300"/>
    </row>
    <row r="4" spans="1:41" s="10" customFormat="1" ht="20.100000000000001" customHeight="1" x14ac:dyDescent="0.3">
      <c r="A4" s="177" t="s">
        <v>100</v>
      </c>
      <c r="B4" s="137">
        <v>20</v>
      </c>
      <c r="C4" s="160"/>
      <c r="D4" s="161">
        <v>21</v>
      </c>
      <c r="E4" s="161">
        <v>26</v>
      </c>
      <c r="F4" s="161">
        <v>46</v>
      </c>
      <c r="G4" s="161"/>
      <c r="H4" s="161"/>
      <c r="I4" s="161">
        <v>31</v>
      </c>
      <c r="J4" s="161">
        <v>22</v>
      </c>
      <c r="K4" s="161">
        <v>18</v>
      </c>
      <c r="L4" s="161"/>
      <c r="M4" s="161"/>
      <c r="N4" s="161"/>
      <c r="O4" s="162"/>
      <c r="P4" s="9">
        <f>SUM(C4:O4)</f>
        <v>164</v>
      </c>
      <c r="Q4" s="8">
        <f>COUNTIF(C4:O4,"&gt;0")</f>
        <v>6</v>
      </c>
      <c r="R4" s="8">
        <f>IF(P4=0," ",P4/Q4)</f>
        <v>27.333333333333332</v>
      </c>
      <c r="S4" s="94">
        <f>IF(P4=0," ",P4/(Q4*B4)*100)</f>
        <v>136.66666666666666</v>
      </c>
      <c r="T4" s="70">
        <v>20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6</v>
      </c>
      <c r="AN4" s="8">
        <f>IF(AL4=0," ",AL4/AM4)</f>
        <v>27.333333333333332</v>
      </c>
      <c r="AO4" s="94">
        <f>IF(AL4=0," ",AL4/(AM4*T4)*100)</f>
        <v>136.66666666666666</v>
      </c>
    </row>
    <row r="5" spans="1:41" s="10" customFormat="1" ht="20.100000000000001" customHeight="1" x14ac:dyDescent="0.3">
      <c r="A5" s="26" t="s">
        <v>101</v>
      </c>
      <c r="B5" s="70">
        <v>41</v>
      </c>
      <c r="C5" s="163"/>
      <c r="D5" s="164">
        <v>43</v>
      </c>
      <c r="E5" s="164"/>
      <c r="F5" s="164"/>
      <c r="G5" s="164">
        <v>42</v>
      </c>
      <c r="H5" s="164">
        <v>41</v>
      </c>
      <c r="I5" s="164"/>
      <c r="J5" s="164"/>
      <c r="K5" s="164"/>
      <c r="L5" s="164"/>
      <c r="M5" s="164">
        <v>33</v>
      </c>
      <c r="N5" s="164">
        <v>34</v>
      </c>
      <c r="O5" s="165">
        <v>32</v>
      </c>
      <c r="P5" s="13">
        <f t="shared" ref="P5:P18" si="2">SUM(C5:O5)</f>
        <v>225</v>
      </c>
      <c r="Q5" s="11">
        <f t="shared" ref="Q5:Q18" si="3">COUNTIF(C5:O5,"&gt;0")</f>
        <v>6</v>
      </c>
      <c r="R5" s="11">
        <f t="shared" ref="R5:R18" si="4">IF(P5=0," ",P5/Q5)</f>
        <v>37.5</v>
      </c>
      <c r="S5" s="12">
        <f t="shared" ref="S5:S18" si="5">IF(P5=0," ",P5/(Q5*B5)*100)</f>
        <v>91.463414634146346</v>
      </c>
      <c r="T5" s="70">
        <v>41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225</v>
      </c>
      <c r="AM5" s="95">
        <f t="shared" ref="AM5:AM18" si="10">Q5+AI5</f>
        <v>6</v>
      </c>
      <c r="AN5" s="11">
        <f t="shared" ref="AN5:AN18" si="11">IF(AL5=0," ",AL5/AM5)</f>
        <v>37.5</v>
      </c>
      <c r="AO5" s="12">
        <f t="shared" ref="AO5:AO18" si="12">IF(AL5=0," ",AL5/(AM5*T5)*100)</f>
        <v>91.463414634146346</v>
      </c>
    </row>
    <row r="6" spans="1:41" s="10" customFormat="1" ht="20.100000000000001" customHeight="1" x14ac:dyDescent="0.3">
      <c r="A6" s="26" t="s">
        <v>102</v>
      </c>
      <c r="B6" s="70">
        <v>38</v>
      </c>
      <c r="C6" s="163"/>
      <c r="D6" s="164"/>
      <c r="E6" s="164"/>
      <c r="F6" s="164">
        <v>39</v>
      </c>
      <c r="G6" s="164"/>
      <c r="H6" s="164"/>
      <c r="I6" s="164"/>
      <c r="J6" s="164">
        <v>40</v>
      </c>
      <c r="K6" s="164">
        <v>32</v>
      </c>
      <c r="L6" s="164">
        <v>50</v>
      </c>
      <c r="M6" s="164"/>
      <c r="N6" s="164"/>
      <c r="O6" s="165">
        <v>37</v>
      </c>
      <c r="P6" s="13">
        <f t="shared" si="2"/>
        <v>198</v>
      </c>
      <c r="Q6" s="11">
        <f t="shared" si="3"/>
        <v>5</v>
      </c>
      <c r="R6" s="11">
        <f t="shared" si="4"/>
        <v>39.6</v>
      </c>
      <c r="S6" s="12">
        <f t="shared" si="5"/>
        <v>104.21052631578947</v>
      </c>
      <c r="T6" s="70">
        <v>38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198</v>
      </c>
      <c r="AM6" s="95">
        <f t="shared" si="10"/>
        <v>5</v>
      </c>
      <c r="AN6" s="11">
        <f t="shared" si="11"/>
        <v>39.6</v>
      </c>
      <c r="AO6" s="12">
        <f t="shared" si="12"/>
        <v>104.21052631578947</v>
      </c>
    </row>
    <row r="7" spans="1:41" s="10" customFormat="1" ht="20.100000000000001" customHeight="1" x14ac:dyDescent="0.3">
      <c r="A7" s="26" t="s">
        <v>103</v>
      </c>
      <c r="B7" s="70">
        <v>25</v>
      </c>
      <c r="C7" s="163">
        <v>19</v>
      </c>
      <c r="D7" s="164"/>
      <c r="E7" s="164">
        <v>24</v>
      </c>
      <c r="F7" s="164">
        <v>34</v>
      </c>
      <c r="G7" s="164">
        <v>26</v>
      </c>
      <c r="H7" s="164">
        <v>20</v>
      </c>
      <c r="I7" s="164">
        <v>39</v>
      </c>
      <c r="J7" s="164">
        <v>35</v>
      </c>
      <c r="K7" s="164"/>
      <c r="L7" s="164">
        <v>21</v>
      </c>
      <c r="M7" s="164">
        <v>27</v>
      </c>
      <c r="N7" s="164">
        <v>38</v>
      </c>
      <c r="O7" s="165">
        <v>33</v>
      </c>
      <c r="P7" s="13">
        <f t="shared" si="2"/>
        <v>316</v>
      </c>
      <c r="Q7" s="11">
        <f t="shared" si="3"/>
        <v>11</v>
      </c>
      <c r="R7" s="11">
        <f t="shared" si="4"/>
        <v>28.727272727272727</v>
      </c>
      <c r="S7" s="12">
        <f t="shared" si="5"/>
        <v>114.90909090909092</v>
      </c>
      <c r="T7" s="70">
        <v>25</v>
      </c>
      <c r="U7" s="163">
        <v>30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30</v>
      </c>
      <c r="AI7" s="11">
        <f t="shared" si="7"/>
        <v>1</v>
      </c>
      <c r="AJ7" s="12">
        <f t="shared" si="8"/>
        <v>30</v>
      </c>
      <c r="AK7" s="77"/>
      <c r="AL7" s="124">
        <f t="shared" si="9"/>
        <v>346</v>
      </c>
      <c r="AM7" s="95">
        <f t="shared" si="10"/>
        <v>12</v>
      </c>
      <c r="AN7" s="11">
        <f t="shared" si="11"/>
        <v>28.833333333333332</v>
      </c>
      <c r="AO7" s="12">
        <f t="shared" si="12"/>
        <v>115.33333333333333</v>
      </c>
    </row>
    <row r="8" spans="1:41" s="10" customFormat="1" ht="20.100000000000001" customHeight="1" x14ac:dyDescent="0.3">
      <c r="A8" s="26" t="s">
        <v>104</v>
      </c>
      <c r="B8" s="70">
        <v>15</v>
      </c>
      <c r="C8" s="163">
        <v>16</v>
      </c>
      <c r="D8" s="164">
        <v>1E-4</v>
      </c>
      <c r="E8" s="164">
        <v>6</v>
      </c>
      <c r="F8" s="164"/>
      <c r="G8" s="164"/>
      <c r="H8" s="164">
        <v>7</v>
      </c>
      <c r="I8" s="164">
        <v>9</v>
      </c>
      <c r="J8" s="164">
        <v>15</v>
      </c>
      <c r="K8" s="164"/>
      <c r="L8" s="164"/>
      <c r="M8" s="164"/>
      <c r="N8" s="164">
        <v>16</v>
      </c>
      <c r="O8" s="165">
        <v>17</v>
      </c>
      <c r="P8" s="13">
        <f t="shared" si="2"/>
        <v>86.000100000000003</v>
      </c>
      <c r="Q8" s="11">
        <f t="shared" si="3"/>
        <v>8</v>
      </c>
      <c r="R8" s="11">
        <f t="shared" si="4"/>
        <v>10.7500125</v>
      </c>
      <c r="S8" s="12">
        <f t="shared" si="5"/>
        <v>71.666750000000008</v>
      </c>
      <c r="T8" s="70">
        <v>15</v>
      </c>
      <c r="U8" s="163">
        <v>11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11</v>
      </c>
      <c r="AI8" s="11">
        <f t="shared" si="7"/>
        <v>1</v>
      </c>
      <c r="AJ8" s="12">
        <f t="shared" si="8"/>
        <v>11</v>
      </c>
      <c r="AK8" s="77"/>
      <c r="AL8" s="124">
        <f t="shared" si="9"/>
        <v>97.000100000000003</v>
      </c>
      <c r="AM8" s="95">
        <f t="shared" si="10"/>
        <v>9</v>
      </c>
      <c r="AN8" s="11">
        <f t="shared" si="11"/>
        <v>10.777788888888889</v>
      </c>
      <c r="AO8" s="12">
        <f t="shared" si="12"/>
        <v>71.851925925925926</v>
      </c>
    </row>
    <row r="9" spans="1:41" s="10" customFormat="1" ht="20.100000000000001" customHeight="1" x14ac:dyDescent="0.3">
      <c r="A9" s="69" t="s">
        <v>105</v>
      </c>
      <c r="B9" s="70">
        <v>39</v>
      </c>
      <c r="C9" s="163">
        <v>38</v>
      </c>
      <c r="D9" s="164"/>
      <c r="E9" s="164">
        <v>38</v>
      </c>
      <c r="F9" s="164"/>
      <c r="G9" s="164">
        <v>33</v>
      </c>
      <c r="H9" s="164">
        <v>46</v>
      </c>
      <c r="I9" s="164">
        <v>25</v>
      </c>
      <c r="J9" s="164"/>
      <c r="K9" s="164">
        <v>55</v>
      </c>
      <c r="L9" s="164">
        <v>48</v>
      </c>
      <c r="M9" s="164">
        <v>52</v>
      </c>
      <c r="N9" s="164"/>
      <c r="O9" s="165"/>
      <c r="P9" s="13">
        <f t="shared" si="2"/>
        <v>335</v>
      </c>
      <c r="Q9" s="11">
        <f t="shared" si="3"/>
        <v>8</v>
      </c>
      <c r="R9" s="11">
        <f t="shared" si="4"/>
        <v>41.875</v>
      </c>
      <c r="S9" s="12">
        <f t="shared" si="5"/>
        <v>107.37179487179486</v>
      </c>
      <c r="T9" s="70">
        <v>39</v>
      </c>
      <c r="U9" s="163">
        <v>55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55</v>
      </c>
      <c r="AI9" s="11">
        <f t="shared" si="7"/>
        <v>1</v>
      </c>
      <c r="AJ9" s="12">
        <f t="shared" si="8"/>
        <v>55</v>
      </c>
      <c r="AK9" s="77"/>
      <c r="AL9" s="124">
        <f t="shared" si="9"/>
        <v>390</v>
      </c>
      <c r="AM9" s="95">
        <f t="shared" si="10"/>
        <v>9</v>
      </c>
      <c r="AN9" s="11">
        <f t="shared" si="11"/>
        <v>43.333333333333336</v>
      </c>
      <c r="AO9" s="12">
        <f t="shared" si="12"/>
        <v>111.11111111111111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3"/>
      <c r="D10" s="164"/>
      <c r="E10" s="164"/>
      <c r="F10" s="164">
        <v>27</v>
      </c>
      <c r="G10" s="164">
        <v>16</v>
      </c>
      <c r="H10" s="164"/>
      <c r="I10" s="164"/>
      <c r="J10" s="164"/>
      <c r="K10" s="164">
        <v>26</v>
      </c>
      <c r="L10" s="164">
        <v>15</v>
      </c>
      <c r="M10" s="164">
        <v>33</v>
      </c>
      <c r="N10" s="164"/>
      <c r="O10" s="165"/>
      <c r="P10" s="13">
        <f t="shared" si="2"/>
        <v>117</v>
      </c>
      <c r="Q10" s="11">
        <f t="shared" si="3"/>
        <v>5</v>
      </c>
      <c r="R10" s="11">
        <f t="shared" si="4"/>
        <v>23.4</v>
      </c>
      <c r="S10" s="12">
        <f t="shared" si="5"/>
        <v>101.7391304347826</v>
      </c>
      <c r="T10" s="70">
        <v>23</v>
      </c>
      <c r="U10" s="163">
        <v>34</v>
      </c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34</v>
      </c>
      <c r="AI10" s="11">
        <f t="shared" si="7"/>
        <v>1</v>
      </c>
      <c r="AJ10" s="12">
        <f t="shared" si="8"/>
        <v>34</v>
      </c>
      <c r="AK10" s="77"/>
      <c r="AL10" s="124">
        <f t="shared" si="9"/>
        <v>151</v>
      </c>
      <c r="AM10" s="95">
        <f t="shared" si="10"/>
        <v>6</v>
      </c>
      <c r="AN10" s="11">
        <f t="shared" si="11"/>
        <v>25.166666666666668</v>
      </c>
      <c r="AO10" s="12">
        <f t="shared" si="12"/>
        <v>109.42028985507247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3">
        <v>65</v>
      </c>
      <c r="D11" s="164">
        <v>82</v>
      </c>
      <c r="E11" s="164"/>
      <c r="F11" s="164"/>
      <c r="G11" s="164"/>
      <c r="H11" s="164">
        <v>73</v>
      </c>
      <c r="I11" s="164">
        <v>76</v>
      </c>
      <c r="J11" s="164"/>
      <c r="K11" s="164"/>
      <c r="L11" s="164">
        <v>102</v>
      </c>
      <c r="M11" s="164">
        <v>77</v>
      </c>
      <c r="N11" s="164">
        <v>115</v>
      </c>
      <c r="O11" s="165">
        <v>67</v>
      </c>
      <c r="P11" s="13">
        <f t="shared" si="2"/>
        <v>657</v>
      </c>
      <c r="Q11" s="11">
        <f t="shared" si="3"/>
        <v>8</v>
      </c>
      <c r="R11" s="11">
        <f t="shared" si="4"/>
        <v>82.125</v>
      </c>
      <c r="S11" s="12">
        <f t="shared" si="5"/>
        <v>128.3203125</v>
      </c>
      <c r="T11" s="70">
        <v>64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657</v>
      </c>
      <c r="AM11" s="95">
        <f t="shared" si="10"/>
        <v>8</v>
      </c>
      <c r="AN11" s="11">
        <f t="shared" si="11"/>
        <v>82.125</v>
      </c>
      <c r="AO11" s="12">
        <f t="shared" si="12"/>
        <v>128.3203125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3">
        <v>33</v>
      </c>
      <c r="D12" s="164">
        <v>49</v>
      </c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3">
        <v>41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41</v>
      </c>
      <c r="AI12" s="11">
        <f t="shared" si="7"/>
        <v>1</v>
      </c>
      <c r="AJ12" s="12">
        <f t="shared" si="8"/>
        <v>41</v>
      </c>
      <c r="AK12" s="77"/>
      <c r="AL12" s="124">
        <f t="shared" si="9"/>
        <v>123</v>
      </c>
      <c r="AM12" s="95">
        <f t="shared" si="10"/>
        <v>3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308</v>
      </c>
      <c r="B13" s="70">
        <v>27</v>
      </c>
      <c r="C13" s="163"/>
      <c r="D13" s="164"/>
      <c r="E13" s="164">
        <v>27</v>
      </c>
      <c r="F13" s="164">
        <v>21</v>
      </c>
      <c r="G13" s="164">
        <v>23</v>
      </c>
      <c r="H13" s="164"/>
      <c r="I13" s="164"/>
      <c r="J13" s="164">
        <v>18</v>
      </c>
      <c r="K13" s="164">
        <v>24</v>
      </c>
      <c r="L13" s="164">
        <v>42</v>
      </c>
      <c r="M13" s="164"/>
      <c r="N13" s="164">
        <v>14</v>
      </c>
      <c r="O13" s="165"/>
      <c r="P13" s="13">
        <f t="shared" si="2"/>
        <v>169</v>
      </c>
      <c r="Q13" s="11">
        <f t="shared" si="3"/>
        <v>7</v>
      </c>
      <c r="R13" s="11">
        <f t="shared" si="4"/>
        <v>24.142857142857142</v>
      </c>
      <c r="S13" s="12">
        <f t="shared" si="5"/>
        <v>89.417989417989418</v>
      </c>
      <c r="T13" s="70">
        <v>27</v>
      </c>
      <c r="U13" s="163">
        <v>34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34</v>
      </c>
      <c r="AI13" s="11">
        <f t="shared" si="7"/>
        <v>1</v>
      </c>
      <c r="AJ13" s="12">
        <f t="shared" si="8"/>
        <v>34</v>
      </c>
      <c r="AK13" s="77"/>
      <c r="AL13" s="124">
        <f t="shared" si="9"/>
        <v>203</v>
      </c>
      <c r="AM13" s="95">
        <f t="shared" si="10"/>
        <v>8</v>
      </c>
      <c r="AN13" s="11">
        <f t="shared" si="11"/>
        <v>25.375</v>
      </c>
      <c r="AO13" s="12">
        <f t="shared" si="12"/>
        <v>93.981481481481481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3"/>
      <c r="D14" s="164"/>
      <c r="E14" s="164">
        <v>36</v>
      </c>
      <c r="F14" s="164">
        <v>25</v>
      </c>
      <c r="G14" s="164"/>
      <c r="H14" s="164"/>
      <c r="I14" s="164">
        <v>23</v>
      </c>
      <c r="J14" s="164"/>
      <c r="K14" s="164">
        <v>17</v>
      </c>
      <c r="L14" s="164"/>
      <c r="M14" s="164"/>
      <c r="N14" s="164"/>
      <c r="O14" s="165"/>
      <c r="P14" s="13">
        <f t="shared" si="2"/>
        <v>101</v>
      </c>
      <c r="Q14" s="11">
        <f t="shared" si="3"/>
        <v>4</v>
      </c>
      <c r="R14" s="11">
        <f t="shared" si="4"/>
        <v>25.25</v>
      </c>
      <c r="S14" s="12">
        <f t="shared" si="5"/>
        <v>84.166666666666671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101</v>
      </c>
      <c r="AM14" s="95">
        <f t="shared" si="10"/>
        <v>4</v>
      </c>
      <c r="AN14" s="11">
        <f t="shared" si="11"/>
        <v>25.25</v>
      </c>
      <c r="AO14" s="12">
        <f t="shared" si="12"/>
        <v>84.166666666666671</v>
      </c>
    </row>
    <row r="15" spans="1:41" s="10" customFormat="1" ht="20.100000000000001" customHeight="1" x14ac:dyDescent="0.3">
      <c r="A15" s="26" t="s">
        <v>309</v>
      </c>
      <c r="B15" s="70">
        <v>16</v>
      </c>
      <c r="C15" s="163">
        <v>20</v>
      </c>
      <c r="D15" s="164">
        <v>17</v>
      </c>
      <c r="E15" s="164"/>
      <c r="F15" s="164"/>
      <c r="G15" s="164">
        <v>14</v>
      </c>
      <c r="H15" s="164">
        <v>19</v>
      </c>
      <c r="I15" s="164"/>
      <c r="J15" s="164">
        <v>17</v>
      </c>
      <c r="K15" s="164"/>
      <c r="L15" s="164"/>
      <c r="M15" s="164">
        <v>5</v>
      </c>
      <c r="N15" s="164">
        <v>7</v>
      </c>
      <c r="O15" s="165">
        <v>19</v>
      </c>
      <c r="P15" s="13">
        <f t="shared" si="2"/>
        <v>118</v>
      </c>
      <c r="Q15" s="11">
        <f t="shared" si="3"/>
        <v>8</v>
      </c>
      <c r="R15" s="11">
        <f t="shared" si="4"/>
        <v>14.75</v>
      </c>
      <c r="S15" s="12">
        <f t="shared" si="5"/>
        <v>92.1875</v>
      </c>
      <c r="T15" s="70">
        <v>16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118</v>
      </c>
      <c r="AM15" s="95">
        <f t="shared" si="10"/>
        <v>8</v>
      </c>
      <c r="AN15" s="11">
        <f t="shared" si="11"/>
        <v>14.75</v>
      </c>
      <c r="AO15" s="12">
        <f t="shared" si="12"/>
        <v>92.1875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147</v>
      </c>
      <c r="K19" s="19">
        <f t="shared" si="14"/>
        <v>172</v>
      </c>
      <c r="L19" s="19">
        <f t="shared" si="14"/>
        <v>278</v>
      </c>
      <c r="M19" s="19">
        <f t="shared" si="14"/>
        <v>227</v>
      </c>
      <c r="N19" s="19">
        <f t="shared" si="14"/>
        <v>224</v>
      </c>
      <c r="O19" s="19">
        <f t="shared" si="14"/>
        <v>205</v>
      </c>
      <c r="P19" s="19">
        <f t="shared" si="14"/>
        <v>2568.0001000000002</v>
      </c>
      <c r="Q19" s="19">
        <f t="shared" si="14"/>
        <v>78</v>
      </c>
      <c r="R19" s="19">
        <f>P19/Q19</f>
        <v>32.923078205128206</v>
      </c>
      <c r="S19" s="22"/>
      <c r="T19" s="179">
        <f>SUM(T4:T18)</f>
        <v>391</v>
      </c>
      <c r="U19" s="21">
        <f>SUM(U4:U18)</f>
        <v>205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205</v>
      </c>
      <c r="AI19" s="18">
        <f>SUM(AI4:AI18)</f>
        <v>6</v>
      </c>
      <c r="AJ19" s="23">
        <f>AH19/AI19</f>
        <v>34.166666666666664</v>
      </c>
      <c r="AK19" s="78"/>
      <c r="AL19" s="24">
        <f>SUM(AL4:AL18)</f>
        <v>2773.0001000000002</v>
      </c>
      <c r="AM19" s="18">
        <f>SUM(AM4:AM18)</f>
        <v>84</v>
      </c>
      <c r="AN19" s="18">
        <f t="shared" ref="AN19" si="17">AL19/AM19</f>
        <v>33.011905952380957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58" priority="6" operator="equal">
      <formula>0</formula>
    </cfRule>
  </conditionalFormatting>
  <conditionalFormatting sqref="A19 C19:S19 U19:AO19">
    <cfRule type="containsErrors" dxfId="57" priority="8">
      <formula>ISERROR(A19)</formula>
    </cfRule>
  </conditionalFormatting>
  <conditionalFormatting sqref="B4:B19">
    <cfRule type="cellIs" dxfId="56" priority="5" operator="equal">
      <formula>0</formula>
    </cfRule>
  </conditionalFormatting>
  <conditionalFormatting sqref="P4:S18 C19:S19">
    <cfRule type="cellIs" dxfId="55" priority="2" operator="equal">
      <formula>0</formula>
    </cfRule>
  </conditionalFormatting>
  <conditionalFormatting sqref="T4:T19">
    <cfRule type="cellIs" dxfId="54" priority="1" operator="equal">
      <formula>0</formula>
    </cfRule>
  </conditionalFormatting>
  <conditionalFormatting sqref="AH4:AO18 U19:AO19">
    <cfRule type="cellIs" dxfId="5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topLeftCell="A2" zoomScale="115" zoomScaleNormal="115" workbookViewId="0">
      <selection activeCell="U9" sqref="U9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73"/>
      <c r="AL1" s="305" t="s">
        <v>41</v>
      </c>
      <c r="AM1" s="305"/>
      <c r="AN1" s="305"/>
      <c r="AO1" s="306"/>
    </row>
    <row r="2" spans="1:41" ht="121.5" customHeight="1" thickBot="1" x14ac:dyDescent="0.35">
      <c r="A2" s="307" t="s">
        <v>26</v>
      </c>
      <c r="B2" s="309" t="s">
        <v>42</v>
      </c>
      <c r="C2" s="311" t="s">
        <v>43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110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08"/>
      <c r="B3" s="31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2"/>
      <c r="AI3" s="298"/>
      <c r="AJ3" s="300"/>
      <c r="AK3" s="76"/>
      <c r="AL3" s="302"/>
      <c r="AM3" s="298"/>
      <c r="AN3" s="298"/>
      <c r="AO3" s="300"/>
    </row>
    <row r="4" spans="1:41" s="10" customFormat="1" ht="20.100000000000001" customHeight="1" x14ac:dyDescent="0.3">
      <c r="A4" s="177" t="s">
        <v>310</v>
      </c>
      <c r="B4" s="137">
        <v>38</v>
      </c>
      <c r="C4" s="160"/>
      <c r="D4" s="161">
        <v>29</v>
      </c>
      <c r="E4" s="161"/>
      <c r="F4" s="161"/>
      <c r="G4" s="161"/>
      <c r="H4" s="161">
        <v>46</v>
      </c>
      <c r="I4" s="161">
        <v>34</v>
      </c>
      <c r="J4" s="161"/>
      <c r="K4" s="161">
        <v>33</v>
      </c>
      <c r="L4" s="161">
        <v>28</v>
      </c>
      <c r="M4" s="161"/>
      <c r="N4" s="161">
        <v>42</v>
      </c>
      <c r="O4" s="162"/>
      <c r="P4" s="9">
        <f>SUM(C4:O4)</f>
        <v>212</v>
      </c>
      <c r="Q4" s="8">
        <f>COUNTIF(C4:O4,"&gt;0")</f>
        <v>6</v>
      </c>
      <c r="R4" s="8">
        <f>IF(P4=0," ",P4/Q4)</f>
        <v>35.333333333333336</v>
      </c>
      <c r="S4" s="94">
        <f>IF(P4=0," ",P4/(Q4*B4)*100)</f>
        <v>92.982456140350877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212</v>
      </c>
      <c r="AM4" s="123">
        <f t="shared" ref="AM4" si="1">Q4+AI4</f>
        <v>6</v>
      </c>
      <c r="AN4" s="8">
        <f>IF(AL4=0," ",AL4/AM4)</f>
        <v>35.333333333333336</v>
      </c>
      <c r="AO4" s="94">
        <f t="shared" ref="AO4" si="2">IF(AL4=0," ",AL4/(AM4*T4)*100)</f>
        <v>92.982456140350877</v>
      </c>
    </row>
    <row r="5" spans="1:41" s="10" customFormat="1" ht="20.100000000000001" customHeight="1" x14ac:dyDescent="0.3">
      <c r="A5" s="26" t="s">
        <v>318</v>
      </c>
      <c r="B5" s="70">
        <v>58</v>
      </c>
      <c r="C5" s="163">
        <v>58</v>
      </c>
      <c r="D5" s="164">
        <v>40</v>
      </c>
      <c r="E5" s="164"/>
      <c r="F5" s="164">
        <v>41</v>
      </c>
      <c r="G5" s="164">
        <v>58</v>
      </c>
      <c r="H5" s="164">
        <v>59</v>
      </c>
      <c r="I5" s="164">
        <v>61</v>
      </c>
      <c r="J5" s="164"/>
      <c r="K5" s="164"/>
      <c r="L5" s="164"/>
      <c r="M5" s="164">
        <v>50</v>
      </c>
      <c r="N5" s="164">
        <v>43</v>
      </c>
      <c r="O5" s="165">
        <v>94</v>
      </c>
      <c r="P5" s="13">
        <f t="shared" ref="P5:P18" si="3">SUM(C5:O5)</f>
        <v>504</v>
      </c>
      <c r="Q5" s="11">
        <f t="shared" ref="Q5:Q18" si="4">COUNTIF(C5:O5,"&gt;0")</f>
        <v>9</v>
      </c>
      <c r="R5" s="11">
        <f t="shared" ref="R5:R18" si="5">IF(P5=0," ",P5/Q5)</f>
        <v>56</v>
      </c>
      <c r="S5" s="12">
        <f t="shared" ref="S5:S18" si="6">IF(P5=0," ",P5/(Q5*B5)*100)</f>
        <v>96.551724137931032</v>
      </c>
      <c r="T5" s="70">
        <v>58</v>
      </c>
      <c r="U5" s="163">
        <v>56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56</v>
      </c>
      <c r="AI5" s="11">
        <f t="shared" ref="AI5:AI18" si="8">COUNTIF(U5:AG5,"&gt;0")</f>
        <v>1</v>
      </c>
      <c r="AJ5" s="12">
        <f t="shared" ref="AJ5:AJ18" si="9">IF(AH5=0," ",AH5/AI5)</f>
        <v>56</v>
      </c>
      <c r="AK5" s="77"/>
      <c r="AL5" s="124">
        <f t="shared" ref="AL5:AL18" si="10">P5+AH5</f>
        <v>560</v>
      </c>
      <c r="AM5" s="95">
        <f t="shared" ref="AM5:AM18" si="11">Q5+AI5</f>
        <v>10</v>
      </c>
      <c r="AN5" s="11">
        <f t="shared" ref="AN5:AN18" si="12">IF(AL5=0," ",AL5/AM5)</f>
        <v>56</v>
      </c>
      <c r="AO5" s="12">
        <f t="shared" ref="AO5:AO18" si="13">IF(AL5=0," ",AL5/(AM5*T5)*100)</f>
        <v>96.551724137931032</v>
      </c>
    </row>
    <row r="6" spans="1:41" s="10" customFormat="1" ht="20.100000000000001" customHeight="1" x14ac:dyDescent="0.3">
      <c r="A6" s="69" t="s">
        <v>111</v>
      </c>
      <c r="B6" s="70">
        <v>27</v>
      </c>
      <c r="C6" s="163"/>
      <c r="D6" s="164">
        <v>26</v>
      </c>
      <c r="E6" s="164">
        <v>26</v>
      </c>
      <c r="F6" s="164"/>
      <c r="G6" s="164">
        <v>38</v>
      </c>
      <c r="H6" s="164">
        <v>19</v>
      </c>
      <c r="I6" s="164"/>
      <c r="J6" s="164">
        <v>39</v>
      </c>
      <c r="K6" s="164">
        <v>38</v>
      </c>
      <c r="L6" s="164">
        <v>26</v>
      </c>
      <c r="M6" s="164">
        <v>20</v>
      </c>
      <c r="N6" s="164">
        <v>26</v>
      </c>
      <c r="O6" s="165">
        <v>19</v>
      </c>
      <c r="P6" s="13">
        <f t="shared" si="3"/>
        <v>277</v>
      </c>
      <c r="Q6" s="11">
        <f t="shared" si="4"/>
        <v>10</v>
      </c>
      <c r="R6" s="11">
        <f t="shared" si="5"/>
        <v>27.7</v>
      </c>
      <c r="S6" s="12">
        <f t="shared" si="6"/>
        <v>102.5925925925926</v>
      </c>
      <c r="T6" s="70">
        <v>27</v>
      </c>
      <c r="U6" s="163">
        <v>29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29</v>
      </c>
      <c r="AI6" s="11">
        <f t="shared" si="8"/>
        <v>1</v>
      </c>
      <c r="AJ6" s="12">
        <f t="shared" si="9"/>
        <v>29</v>
      </c>
      <c r="AK6" s="77"/>
      <c r="AL6" s="124">
        <f t="shared" si="10"/>
        <v>306</v>
      </c>
      <c r="AM6" s="95">
        <f t="shared" si="11"/>
        <v>11</v>
      </c>
      <c r="AN6" s="11">
        <f t="shared" si="12"/>
        <v>27.818181818181817</v>
      </c>
      <c r="AO6" s="12">
        <f t="shared" si="13"/>
        <v>103.03030303030303</v>
      </c>
    </row>
    <row r="7" spans="1:41" s="10" customFormat="1" ht="20.100000000000001" customHeight="1" x14ac:dyDescent="0.3">
      <c r="A7" s="26" t="s">
        <v>112</v>
      </c>
      <c r="B7" s="70">
        <v>30</v>
      </c>
      <c r="C7" s="163">
        <v>28</v>
      </c>
      <c r="D7" s="164"/>
      <c r="E7" s="164">
        <v>44</v>
      </c>
      <c r="F7" s="164">
        <v>48</v>
      </c>
      <c r="G7" s="164"/>
      <c r="H7" s="164">
        <v>35</v>
      </c>
      <c r="I7" s="164">
        <v>26</v>
      </c>
      <c r="J7" s="164">
        <v>32</v>
      </c>
      <c r="K7" s="164"/>
      <c r="L7" s="164">
        <v>36</v>
      </c>
      <c r="M7" s="164">
        <v>39</v>
      </c>
      <c r="N7" s="164"/>
      <c r="O7" s="165">
        <v>27</v>
      </c>
      <c r="P7" s="13">
        <f t="shared" si="3"/>
        <v>315</v>
      </c>
      <c r="Q7" s="11">
        <f t="shared" si="4"/>
        <v>9</v>
      </c>
      <c r="R7" s="11">
        <f t="shared" si="5"/>
        <v>35</v>
      </c>
      <c r="S7" s="12">
        <f t="shared" si="6"/>
        <v>116.66666666666667</v>
      </c>
      <c r="T7" s="70">
        <v>30</v>
      </c>
      <c r="U7" s="163">
        <v>38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38</v>
      </c>
      <c r="AI7" s="11">
        <f t="shared" si="8"/>
        <v>1</v>
      </c>
      <c r="AJ7" s="12">
        <f t="shared" si="9"/>
        <v>38</v>
      </c>
      <c r="AK7" s="77"/>
      <c r="AL7" s="124">
        <f t="shared" si="10"/>
        <v>353</v>
      </c>
      <c r="AM7" s="95">
        <f t="shared" si="11"/>
        <v>10</v>
      </c>
      <c r="AN7" s="11">
        <f t="shared" si="12"/>
        <v>35.299999999999997</v>
      </c>
      <c r="AO7" s="12">
        <f t="shared" si="13"/>
        <v>117.66666666666667</v>
      </c>
    </row>
    <row r="8" spans="1:41" s="10" customFormat="1" ht="20.100000000000001" customHeight="1" x14ac:dyDescent="0.3">
      <c r="A8" s="26" t="s">
        <v>113</v>
      </c>
      <c r="B8" s="70">
        <v>53</v>
      </c>
      <c r="C8" s="163"/>
      <c r="D8" s="164">
        <v>73</v>
      </c>
      <c r="E8" s="164">
        <v>41</v>
      </c>
      <c r="F8" s="164"/>
      <c r="G8" s="164">
        <v>51</v>
      </c>
      <c r="H8" s="164">
        <v>32</v>
      </c>
      <c r="I8" s="164"/>
      <c r="J8" s="164">
        <v>58</v>
      </c>
      <c r="K8" s="164">
        <v>58</v>
      </c>
      <c r="L8" s="164"/>
      <c r="M8" s="164">
        <v>64</v>
      </c>
      <c r="N8" s="164">
        <v>42</v>
      </c>
      <c r="O8" s="165"/>
      <c r="P8" s="13">
        <f t="shared" si="3"/>
        <v>419</v>
      </c>
      <c r="Q8" s="11">
        <f t="shared" si="4"/>
        <v>8</v>
      </c>
      <c r="R8" s="11">
        <f t="shared" si="5"/>
        <v>52.375</v>
      </c>
      <c r="S8" s="12">
        <f t="shared" si="6"/>
        <v>98.820754716981128</v>
      </c>
      <c r="T8" s="70">
        <v>53</v>
      </c>
      <c r="U8" s="163">
        <v>77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77</v>
      </c>
      <c r="AI8" s="11">
        <f t="shared" si="8"/>
        <v>1</v>
      </c>
      <c r="AJ8" s="12">
        <f t="shared" si="9"/>
        <v>77</v>
      </c>
      <c r="AK8" s="77"/>
      <c r="AL8" s="124">
        <f t="shared" si="10"/>
        <v>496</v>
      </c>
      <c r="AM8" s="95">
        <f t="shared" si="11"/>
        <v>9</v>
      </c>
      <c r="AN8" s="11">
        <f t="shared" si="12"/>
        <v>55.111111111111114</v>
      </c>
      <c r="AO8" s="12">
        <f t="shared" si="13"/>
        <v>103.98322851153038</v>
      </c>
    </row>
    <row r="9" spans="1:41" s="10" customFormat="1" ht="20.100000000000001" customHeight="1" x14ac:dyDescent="0.3">
      <c r="A9" s="26" t="s">
        <v>114</v>
      </c>
      <c r="B9" s="70">
        <v>24</v>
      </c>
      <c r="C9" s="163">
        <v>16</v>
      </c>
      <c r="D9" s="164"/>
      <c r="E9" s="164">
        <v>33</v>
      </c>
      <c r="F9" s="164">
        <v>17</v>
      </c>
      <c r="G9" s="164"/>
      <c r="H9" s="164"/>
      <c r="I9" s="164">
        <v>14</v>
      </c>
      <c r="J9" s="164">
        <v>13</v>
      </c>
      <c r="K9" s="164"/>
      <c r="L9" s="164">
        <v>7</v>
      </c>
      <c r="M9" s="164"/>
      <c r="N9" s="164"/>
      <c r="O9" s="165">
        <v>47</v>
      </c>
      <c r="P9" s="13">
        <f t="shared" si="3"/>
        <v>147</v>
      </c>
      <c r="Q9" s="11">
        <f t="shared" si="4"/>
        <v>7</v>
      </c>
      <c r="R9" s="11">
        <f t="shared" si="5"/>
        <v>21</v>
      </c>
      <c r="S9" s="12">
        <f t="shared" si="6"/>
        <v>87.5</v>
      </c>
      <c r="T9" s="70">
        <v>24</v>
      </c>
      <c r="U9" s="163">
        <v>26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26</v>
      </c>
      <c r="AI9" s="11">
        <f t="shared" si="8"/>
        <v>1</v>
      </c>
      <c r="AJ9" s="12">
        <f t="shared" si="9"/>
        <v>26</v>
      </c>
      <c r="AK9" s="77"/>
      <c r="AL9" s="124">
        <f t="shared" si="10"/>
        <v>173</v>
      </c>
      <c r="AM9" s="95">
        <f t="shared" si="11"/>
        <v>8</v>
      </c>
      <c r="AN9" s="11">
        <f t="shared" si="12"/>
        <v>21.625</v>
      </c>
      <c r="AO9" s="12">
        <f t="shared" si="13"/>
        <v>90.104166666666657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3">
        <v>36</v>
      </c>
      <c r="D10" s="164">
        <v>19</v>
      </c>
      <c r="E10" s="164">
        <v>27</v>
      </c>
      <c r="F10" s="164">
        <v>26</v>
      </c>
      <c r="G10" s="164">
        <v>29</v>
      </c>
      <c r="H10" s="164"/>
      <c r="I10" s="164">
        <v>15</v>
      </c>
      <c r="J10" s="164">
        <v>19</v>
      </c>
      <c r="K10" s="164">
        <v>18</v>
      </c>
      <c r="L10" s="164"/>
      <c r="M10" s="164"/>
      <c r="N10" s="164"/>
      <c r="O10" s="165"/>
      <c r="P10" s="13">
        <f t="shared" si="3"/>
        <v>189</v>
      </c>
      <c r="Q10" s="11">
        <f t="shared" si="4"/>
        <v>8</v>
      </c>
      <c r="R10" s="11">
        <f t="shared" si="5"/>
        <v>23.625</v>
      </c>
      <c r="S10" s="12">
        <f t="shared" si="6"/>
        <v>98.4375</v>
      </c>
      <c r="T10" s="70">
        <v>24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189</v>
      </c>
      <c r="AM10" s="95">
        <f t="shared" si="11"/>
        <v>8</v>
      </c>
      <c r="AN10" s="11">
        <f t="shared" si="12"/>
        <v>23.625</v>
      </c>
      <c r="AO10" s="12">
        <f t="shared" si="13"/>
        <v>98.4375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3">
        <v>49</v>
      </c>
      <c r="D11" s="164">
        <v>52</v>
      </c>
      <c r="E11" s="164"/>
      <c r="F11" s="164">
        <v>47</v>
      </c>
      <c r="G11" s="164">
        <v>35</v>
      </c>
      <c r="H11" s="164">
        <v>30</v>
      </c>
      <c r="I11" s="164"/>
      <c r="J11" s="164">
        <v>62</v>
      </c>
      <c r="K11" s="164">
        <v>82</v>
      </c>
      <c r="L11" s="164">
        <v>57</v>
      </c>
      <c r="M11" s="164">
        <v>68</v>
      </c>
      <c r="N11" s="164">
        <v>65</v>
      </c>
      <c r="O11" s="165">
        <v>103</v>
      </c>
      <c r="P11" s="13">
        <f t="shared" si="3"/>
        <v>650</v>
      </c>
      <c r="Q11" s="11">
        <f t="shared" si="4"/>
        <v>11</v>
      </c>
      <c r="R11" s="11">
        <f t="shared" si="5"/>
        <v>59.090909090909093</v>
      </c>
      <c r="S11" s="12">
        <f t="shared" si="6"/>
        <v>109.42760942760943</v>
      </c>
      <c r="T11" s="70">
        <v>54</v>
      </c>
      <c r="U11" s="163">
        <v>56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56</v>
      </c>
      <c r="AI11" s="11">
        <f t="shared" si="8"/>
        <v>1</v>
      </c>
      <c r="AJ11" s="12">
        <f t="shared" si="9"/>
        <v>56</v>
      </c>
      <c r="AK11" s="77"/>
      <c r="AL11" s="124">
        <f t="shared" si="10"/>
        <v>706</v>
      </c>
      <c r="AM11" s="95">
        <f t="shared" si="11"/>
        <v>12</v>
      </c>
      <c r="AN11" s="11">
        <f t="shared" si="12"/>
        <v>58.833333333333336</v>
      </c>
      <c r="AO11" s="12">
        <f t="shared" si="13"/>
        <v>108.95061728395061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3">
        <v>38</v>
      </c>
      <c r="D12" s="164"/>
      <c r="E12" s="164">
        <v>35</v>
      </c>
      <c r="F12" s="164">
        <v>26</v>
      </c>
      <c r="G12" s="164">
        <v>30</v>
      </c>
      <c r="H12" s="164"/>
      <c r="I12" s="164">
        <v>27</v>
      </c>
      <c r="J12" s="164"/>
      <c r="K12" s="164">
        <v>34</v>
      </c>
      <c r="L12" s="164">
        <v>37</v>
      </c>
      <c r="M12" s="164">
        <v>48</v>
      </c>
      <c r="N12" s="164">
        <v>43</v>
      </c>
      <c r="O12" s="165">
        <v>41</v>
      </c>
      <c r="P12" s="13">
        <f t="shared" si="3"/>
        <v>359</v>
      </c>
      <c r="Q12" s="11">
        <f t="shared" si="4"/>
        <v>10</v>
      </c>
      <c r="R12" s="11">
        <f t="shared" si="5"/>
        <v>35.9</v>
      </c>
      <c r="S12" s="12">
        <f t="shared" si="6"/>
        <v>97.027027027027017</v>
      </c>
      <c r="T12" s="70">
        <v>37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359</v>
      </c>
      <c r="AM12" s="95">
        <f t="shared" si="11"/>
        <v>10</v>
      </c>
      <c r="AN12" s="11">
        <f t="shared" si="12"/>
        <v>35.9</v>
      </c>
      <c r="AO12" s="12">
        <f t="shared" si="13"/>
        <v>97.027027027027017</v>
      </c>
    </row>
    <row r="13" spans="1:41" s="10" customFormat="1" ht="20.100000000000001" customHeight="1" x14ac:dyDescent="0.3">
      <c r="A13" s="26">
        <v>0</v>
      </c>
      <c r="B13" s="70">
        <v>0</v>
      </c>
      <c r="C13" s="163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5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COUNT(B1:B18)</f>
        <v>15</v>
      </c>
      <c r="B19" s="180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223</v>
      </c>
      <c r="K19" s="19">
        <f t="shared" si="15"/>
        <v>263</v>
      </c>
      <c r="L19" s="19">
        <f t="shared" si="15"/>
        <v>191</v>
      </c>
      <c r="M19" s="19">
        <f t="shared" si="15"/>
        <v>289</v>
      </c>
      <c r="N19" s="19">
        <f t="shared" si="15"/>
        <v>261</v>
      </c>
      <c r="O19" s="19">
        <f t="shared" si="15"/>
        <v>331</v>
      </c>
      <c r="P19" s="19">
        <f t="shared" si="15"/>
        <v>3072</v>
      </c>
      <c r="Q19" s="19">
        <f t="shared" si="15"/>
        <v>78</v>
      </c>
      <c r="R19" s="19">
        <f>P19/Q19</f>
        <v>39.384615384615387</v>
      </c>
      <c r="S19" s="22"/>
      <c r="T19" s="179">
        <f>SUM(T4:T18)</f>
        <v>345</v>
      </c>
      <c r="U19" s="21">
        <f>SUM(U4:U18)</f>
        <v>282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282</v>
      </c>
      <c r="AI19" s="18">
        <f>SUM(AI4:AI18)</f>
        <v>6</v>
      </c>
      <c r="AJ19" s="23">
        <f>AH19/AI19</f>
        <v>47</v>
      </c>
      <c r="AK19" s="78"/>
      <c r="AL19" s="24">
        <f>SUM(AL4:AL18)</f>
        <v>3354</v>
      </c>
      <c r="AM19" s="18">
        <f>SUM(AM4:AM18)</f>
        <v>84</v>
      </c>
      <c r="AN19" s="18">
        <f t="shared" ref="AN19" si="18">AL19/AM19</f>
        <v>39.928571428571431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52" priority="15" operator="equal">
      <formula>0</formula>
    </cfRule>
  </conditionalFormatting>
  <conditionalFormatting sqref="A19 C19:S19 U19:AO19">
    <cfRule type="containsErrors" dxfId="51" priority="17">
      <formula>ISERROR(A19)</formula>
    </cfRule>
  </conditionalFormatting>
  <conditionalFormatting sqref="B4:B19">
    <cfRule type="cellIs" dxfId="50" priority="14" operator="equal">
      <formula>0</formula>
    </cfRule>
  </conditionalFormatting>
  <conditionalFormatting sqref="P4:S18 C19:S19">
    <cfRule type="cellIs" dxfId="49" priority="6" operator="equal">
      <formula>0</formula>
    </cfRule>
  </conditionalFormatting>
  <conditionalFormatting sqref="T4:T19">
    <cfRule type="cellIs" dxfId="48" priority="1" operator="equal">
      <formula>0</formula>
    </cfRule>
  </conditionalFormatting>
  <conditionalFormatting sqref="AH4:AO18 U19:AO19">
    <cfRule type="cellIs" dxfId="4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115" zoomScaleNormal="115" workbookViewId="0">
      <selection activeCell="U7" sqref="U7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73"/>
      <c r="AL1" s="305" t="s">
        <v>41</v>
      </c>
      <c r="AM1" s="305"/>
      <c r="AN1" s="305"/>
      <c r="AO1" s="306"/>
    </row>
    <row r="2" spans="1:41" ht="121.5" customHeight="1" thickBot="1" x14ac:dyDescent="0.35">
      <c r="A2" s="324" t="s">
        <v>333</v>
      </c>
      <c r="B2" s="309" t="s">
        <v>42</v>
      </c>
      <c r="C2" s="311" t="s">
        <v>43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118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25"/>
      <c r="B3" s="310"/>
      <c r="C3" s="6">
        <v>1</v>
      </c>
      <c r="D3" s="2">
        <v>2</v>
      </c>
      <c r="E3" s="2">
        <v>3</v>
      </c>
      <c r="F3" s="270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2"/>
      <c r="AI3" s="298"/>
      <c r="AJ3" s="300"/>
      <c r="AK3" s="76"/>
      <c r="AL3" s="302"/>
      <c r="AM3" s="298"/>
      <c r="AN3" s="298"/>
      <c r="AO3" s="300"/>
    </row>
    <row r="4" spans="1:41" s="10" customFormat="1" ht="20.100000000000001" customHeight="1" x14ac:dyDescent="0.3">
      <c r="A4" s="177" t="s">
        <v>119</v>
      </c>
      <c r="B4" s="137">
        <v>31</v>
      </c>
      <c r="C4" s="160"/>
      <c r="D4" s="161">
        <v>37</v>
      </c>
      <c r="E4" s="161">
        <v>35</v>
      </c>
      <c r="F4" s="161">
        <v>31</v>
      </c>
      <c r="G4" s="161">
        <v>34</v>
      </c>
      <c r="H4" s="161">
        <v>36</v>
      </c>
      <c r="I4" s="161">
        <v>23</v>
      </c>
      <c r="J4" s="161">
        <v>30</v>
      </c>
      <c r="K4" s="161">
        <v>33</v>
      </c>
      <c r="L4" s="274">
        <v>38</v>
      </c>
      <c r="M4" s="161">
        <v>34</v>
      </c>
      <c r="N4" s="161">
        <v>23</v>
      </c>
      <c r="O4" s="162">
        <v>27</v>
      </c>
      <c r="P4" s="9">
        <f>SUM(C4:O4)</f>
        <v>381</v>
      </c>
      <c r="Q4" s="8">
        <f>COUNTIF(C4:O4,"&gt;0")</f>
        <v>12</v>
      </c>
      <c r="R4" s="8">
        <f>IF(P4=0," ",P4/Q4)</f>
        <v>31.75</v>
      </c>
      <c r="S4" s="94">
        <f>IF(P4=0," ",P4/(Q4*B4)*100)</f>
        <v>102.41935483870968</v>
      </c>
      <c r="T4" s="70">
        <v>31</v>
      </c>
      <c r="U4" s="160">
        <v>22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22</v>
      </c>
      <c r="AI4" s="8">
        <f>COUNTIF(U4:AG4,"&gt;0")</f>
        <v>1</v>
      </c>
      <c r="AJ4" s="94">
        <f>IF(AH4=0," ",AH4/AI4)</f>
        <v>22</v>
      </c>
      <c r="AK4" s="77"/>
      <c r="AL4" s="122">
        <f t="shared" ref="AL4" si="0">P4+AH4</f>
        <v>403</v>
      </c>
      <c r="AM4" s="123">
        <f t="shared" ref="AM4" si="1">Q4+AI4</f>
        <v>13</v>
      </c>
      <c r="AN4" s="8">
        <f>IF(AL4=0," ",AL4/AM4)</f>
        <v>31</v>
      </c>
      <c r="AO4" s="94">
        <f>IF(AL4=0," ",AL4/(AM4*T4)*100)</f>
        <v>100</v>
      </c>
    </row>
    <row r="5" spans="1:41" s="10" customFormat="1" ht="20.100000000000001" customHeight="1" x14ac:dyDescent="0.3">
      <c r="A5" s="26" t="s">
        <v>120</v>
      </c>
      <c r="B5" s="70">
        <v>24</v>
      </c>
      <c r="C5" s="163">
        <v>33</v>
      </c>
      <c r="D5" s="164"/>
      <c r="E5" s="164">
        <v>10</v>
      </c>
      <c r="F5" s="164">
        <v>21</v>
      </c>
      <c r="G5" s="164">
        <v>21</v>
      </c>
      <c r="H5" s="164"/>
      <c r="I5" s="164"/>
      <c r="J5" s="164">
        <v>18</v>
      </c>
      <c r="K5" s="164">
        <v>28</v>
      </c>
      <c r="L5" s="273">
        <v>17</v>
      </c>
      <c r="M5" s="164">
        <v>14</v>
      </c>
      <c r="N5" s="164"/>
      <c r="O5" s="165">
        <v>13</v>
      </c>
      <c r="P5" s="13">
        <f t="shared" ref="P5:P18" si="2">SUM(C5:O5)</f>
        <v>175</v>
      </c>
      <c r="Q5" s="11">
        <f t="shared" ref="Q5:Q18" si="3">COUNTIF(C5:O5,"&gt;0")</f>
        <v>9</v>
      </c>
      <c r="R5" s="11">
        <f t="shared" ref="R5:R18" si="4">IF(P5=0," ",P5/Q5)</f>
        <v>19.444444444444443</v>
      </c>
      <c r="S5" s="12">
        <f t="shared" ref="S5:S18" si="5">IF(P5=0," ",P5/(Q5*B5)*100)</f>
        <v>81.018518518518519</v>
      </c>
      <c r="T5" s="70">
        <v>24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175</v>
      </c>
      <c r="AM5" s="95">
        <f t="shared" ref="AM5:AM18" si="10">Q5+AI5</f>
        <v>9</v>
      </c>
      <c r="AN5" s="11">
        <f t="shared" ref="AN5:AN18" si="11">IF(AL5=0," ",AL5/AM5)</f>
        <v>19.444444444444443</v>
      </c>
      <c r="AO5" s="12">
        <f t="shared" ref="AO5:AO18" si="12">IF(AL5=0," ",AL5/(AM5*T5)*100)</f>
        <v>81.018518518518519</v>
      </c>
    </row>
    <row r="6" spans="1:41" s="10" customFormat="1" ht="20.100000000000001" customHeight="1" x14ac:dyDescent="0.3">
      <c r="A6" s="26" t="s">
        <v>121</v>
      </c>
      <c r="B6" s="70">
        <v>68</v>
      </c>
      <c r="C6" s="163">
        <v>56</v>
      </c>
      <c r="D6" s="164">
        <v>133</v>
      </c>
      <c r="E6" s="164">
        <v>44</v>
      </c>
      <c r="F6" s="164">
        <v>56</v>
      </c>
      <c r="G6" s="164">
        <v>57</v>
      </c>
      <c r="H6" s="164">
        <v>67</v>
      </c>
      <c r="I6" s="164">
        <v>54</v>
      </c>
      <c r="J6" s="164">
        <v>87</v>
      </c>
      <c r="K6" s="164">
        <v>64</v>
      </c>
      <c r="L6" s="164"/>
      <c r="M6" s="164">
        <v>88</v>
      </c>
      <c r="N6" s="164">
        <v>86</v>
      </c>
      <c r="O6" s="165">
        <v>105</v>
      </c>
      <c r="P6" s="13">
        <f t="shared" si="2"/>
        <v>897</v>
      </c>
      <c r="Q6" s="11">
        <f t="shared" si="3"/>
        <v>12</v>
      </c>
      <c r="R6" s="11">
        <f t="shared" si="4"/>
        <v>74.75</v>
      </c>
      <c r="S6" s="12">
        <f t="shared" si="5"/>
        <v>109.9264705882353</v>
      </c>
      <c r="T6" s="70">
        <v>68</v>
      </c>
      <c r="U6" s="163">
        <v>85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85</v>
      </c>
      <c r="AI6" s="11">
        <f t="shared" si="7"/>
        <v>1</v>
      </c>
      <c r="AJ6" s="12">
        <f t="shared" si="8"/>
        <v>85</v>
      </c>
      <c r="AK6" s="77"/>
      <c r="AL6" s="124">
        <f t="shared" si="9"/>
        <v>982</v>
      </c>
      <c r="AM6" s="95">
        <f t="shared" si="10"/>
        <v>13</v>
      </c>
      <c r="AN6" s="11">
        <f t="shared" si="11"/>
        <v>75.538461538461533</v>
      </c>
      <c r="AO6" s="12">
        <f t="shared" si="12"/>
        <v>111.08597285067874</v>
      </c>
    </row>
    <row r="7" spans="1:41" s="10" customFormat="1" ht="20.100000000000001" customHeight="1" x14ac:dyDescent="0.3">
      <c r="A7" s="69" t="s">
        <v>122</v>
      </c>
      <c r="B7" s="70">
        <v>35</v>
      </c>
      <c r="C7" s="163">
        <v>41</v>
      </c>
      <c r="D7" s="164">
        <v>43</v>
      </c>
      <c r="E7" s="164">
        <v>38</v>
      </c>
      <c r="F7" s="164"/>
      <c r="G7" s="164"/>
      <c r="H7" s="164"/>
      <c r="I7" s="164"/>
      <c r="J7" s="164"/>
      <c r="K7" s="164"/>
      <c r="L7" s="164"/>
      <c r="M7" s="164">
        <v>34</v>
      </c>
      <c r="N7" s="164">
        <v>22</v>
      </c>
      <c r="O7" s="165">
        <v>35</v>
      </c>
      <c r="P7" s="13">
        <f t="shared" si="2"/>
        <v>213</v>
      </c>
      <c r="Q7" s="11">
        <f t="shared" si="3"/>
        <v>6</v>
      </c>
      <c r="R7" s="11">
        <f t="shared" si="4"/>
        <v>35.5</v>
      </c>
      <c r="S7" s="12">
        <f t="shared" si="5"/>
        <v>101.42857142857142</v>
      </c>
      <c r="T7" s="70">
        <v>35</v>
      </c>
      <c r="U7" s="163">
        <v>48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48</v>
      </c>
      <c r="AI7" s="11">
        <f t="shared" si="7"/>
        <v>1</v>
      </c>
      <c r="AJ7" s="12">
        <f t="shared" si="8"/>
        <v>48</v>
      </c>
      <c r="AK7" s="77"/>
      <c r="AL7" s="124">
        <f t="shared" si="9"/>
        <v>261</v>
      </c>
      <c r="AM7" s="95">
        <f t="shared" si="10"/>
        <v>7</v>
      </c>
      <c r="AN7" s="11">
        <f t="shared" si="11"/>
        <v>37.285714285714285</v>
      </c>
      <c r="AO7" s="12">
        <f t="shared" si="12"/>
        <v>106.53061224489795</v>
      </c>
    </row>
    <row r="8" spans="1:41" s="10" customFormat="1" ht="20.100000000000001" customHeight="1" x14ac:dyDescent="0.3">
      <c r="A8" s="26" t="s">
        <v>123</v>
      </c>
      <c r="B8" s="70">
        <v>35</v>
      </c>
      <c r="C8" s="163">
        <v>35</v>
      </c>
      <c r="D8" s="164">
        <v>22</v>
      </c>
      <c r="E8" s="164"/>
      <c r="F8" s="164"/>
      <c r="G8" s="164"/>
      <c r="H8" s="164"/>
      <c r="I8" s="164">
        <v>35</v>
      </c>
      <c r="J8" s="273">
        <v>17</v>
      </c>
      <c r="K8" s="164">
        <v>46</v>
      </c>
      <c r="L8" s="273">
        <v>45</v>
      </c>
      <c r="M8" s="164"/>
      <c r="N8" s="164">
        <v>25</v>
      </c>
      <c r="O8" s="165">
        <v>23</v>
      </c>
      <c r="P8" s="13">
        <f t="shared" si="2"/>
        <v>248</v>
      </c>
      <c r="Q8" s="11">
        <f t="shared" si="3"/>
        <v>8</v>
      </c>
      <c r="R8" s="11">
        <f t="shared" si="4"/>
        <v>31</v>
      </c>
      <c r="S8" s="12">
        <f t="shared" si="5"/>
        <v>88.571428571428569</v>
      </c>
      <c r="T8" s="70">
        <v>35</v>
      </c>
      <c r="U8" s="163">
        <v>55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55</v>
      </c>
      <c r="AI8" s="11">
        <f t="shared" si="7"/>
        <v>1</v>
      </c>
      <c r="AJ8" s="12">
        <f t="shared" si="8"/>
        <v>55</v>
      </c>
      <c r="AK8" s="77"/>
      <c r="AL8" s="124">
        <f t="shared" si="9"/>
        <v>303</v>
      </c>
      <c r="AM8" s="95">
        <f t="shared" si="10"/>
        <v>9</v>
      </c>
      <c r="AN8" s="11">
        <f t="shared" si="11"/>
        <v>33.666666666666664</v>
      </c>
      <c r="AO8" s="12">
        <f t="shared" si="12"/>
        <v>96.19047619047619</v>
      </c>
    </row>
    <row r="9" spans="1:41" s="10" customFormat="1" ht="20.100000000000001" customHeight="1" x14ac:dyDescent="0.3">
      <c r="A9" s="26" t="s">
        <v>358</v>
      </c>
      <c r="B9" s="131">
        <v>20</v>
      </c>
      <c r="C9" s="163"/>
      <c r="D9" s="164"/>
      <c r="E9" s="164">
        <v>24</v>
      </c>
      <c r="F9" s="164">
        <v>22</v>
      </c>
      <c r="G9" s="164"/>
      <c r="H9" s="164">
        <v>13</v>
      </c>
      <c r="I9" s="164">
        <v>22</v>
      </c>
      <c r="J9" s="164"/>
      <c r="K9" s="164"/>
      <c r="L9" s="164"/>
      <c r="M9" s="164"/>
      <c r="N9" s="164"/>
      <c r="O9" s="165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276">
        <v>20</v>
      </c>
      <c r="U9" s="163">
        <v>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5</v>
      </c>
      <c r="AI9" s="11">
        <f t="shared" si="7"/>
        <v>1</v>
      </c>
      <c r="AJ9" s="12">
        <f t="shared" si="8"/>
        <v>5</v>
      </c>
      <c r="AK9" s="77"/>
      <c r="AL9" s="124">
        <f t="shared" si="9"/>
        <v>86</v>
      </c>
      <c r="AM9" s="95">
        <f t="shared" si="10"/>
        <v>5</v>
      </c>
      <c r="AN9" s="11">
        <f t="shared" si="11"/>
        <v>17.2</v>
      </c>
      <c r="AO9" s="12">
        <f t="shared" si="12"/>
        <v>86</v>
      </c>
    </row>
    <row r="10" spans="1:41" s="10" customFormat="1" ht="20.100000000000001" customHeight="1" x14ac:dyDescent="0.3">
      <c r="A10" s="26" t="s">
        <v>359</v>
      </c>
      <c r="B10" s="70">
        <v>15</v>
      </c>
      <c r="C10" s="163">
        <v>17</v>
      </c>
      <c r="D10" s="164">
        <v>17</v>
      </c>
      <c r="E10" s="164"/>
      <c r="F10" s="164">
        <v>21</v>
      </c>
      <c r="G10" s="164">
        <v>9</v>
      </c>
      <c r="H10" s="164">
        <v>21</v>
      </c>
      <c r="I10" s="164"/>
      <c r="J10" s="164">
        <v>9</v>
      </c>
      <c r="K10" s="164">
        <v>17</v>
      </c>
      <c r="L10" s="273">
        <v>26</v>
      </c>
      <c r="M10" s="164">
        <v>10</v>
      </c>
      <c r="N10" s="164">
        <v>11</v>
      </c>
      <c r="O10" s="165">
        <v>15</v>
      </c>
      <c r="P10" s="13">
        <f t="shared" si="2"/>
        <v>173</v>
      </c>
      <c r="Q10" s="11">
        <f t="shared" si="3"/>
        <v>11</v>
      </c>
      <c r="R10" s="11">
        <f t="shared" si="4"/>
        <v>15.727272727272727</v>
      </c>
      <c r="S10" s="12">
        <f t="shared" si="5"/>
        <v>104.84848484848486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173</v>
      </c>
      <c r="AM10" s="95">
        <f t="shared" si="10"/>
        <v>11</v>
      </c>
      <c r="AN10" s="11">
        <f t="shared" si="11"/>
        <v>15.727272727272727</v>
      </c>
      <c r="AO10" s="12">
        <f t="shared" si="12"/>
        <v>104.84848484848486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3"/>
      <c r="D11" s="164"/>
      <c r="E11" s="164"/>
      <c r="F11" s="164"/>
      <c r="G11" s="164">
        <v>20</v>
      </c>
      <c r="H11" s="164"/>
      <c r="I11" s="164"/>
      <c r="J11" s="164">
        <v>20</v>
      </c>
      <c r="K11" s="164"/>
      <c r="L11" s="164"/>
      <c r="M11" s="164"/>
      <c r="N11" s="164"/>
      <c r="O11" s="165"/>
      <c r="P11" s="13">
        <f t="shared" si="2"/>
        <v>40</v>
      </c>
      <c r="Q11" s="11">
        <f t="shared" si="3"/>
        <v>2</v>
      </c>
      <c r="R11" s="11">
        <f t="shared" si="4"/>
        <v>20</v>
      </c>
      <c r="S11" s="12">
        <f t="shared" si="5"/>
        <v>95.238095238095227</v>
      </c>
      <c r="T11" s="70">
        <v>21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3"/>
      <c r="D12" s="164">
        <v>18</v>
      </c>
      <c r="E12" s="164">
        <v>15</v>
      </c>
      <c r="F12" s="164"/>
      <c r="G12" s="164"/>
      <c r="H12" s="164">
        <v>24</v>
      </c>
      <c r="I12" s="164">
        <v>16</v>
      </c>
      <c r="J12" s="164">
        <v>15</v>
      </c>
      <c r="K12" s="164"/>
      <c r="L12" s="164"/>
      <c r="M12" s="164"/>
      <c r="N12" s="164">
        <v>10</v>
      </c>
      <c r="O12" s="165"/>
      <c r="P12" s="13">
        <f t="shared" si="2"/>
        <v>98</v>
      </c>
      <c r="Q12" s="11">
        <f t="shared" si="3"/>
        <v>6</v>
      </c>
      <c r="R12" s="11">
        <f t="shared" si="4"/>
        <v>16.333333333333332</v>
      </c>
      <c r="S12" s="12">
        <f t="shared" si="5"/>
        <v>85.964912280701753</v>
      </c>
      <c r="T12" s="70">
        <v>19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98</v>
      </c>
      <c r="AM12" s="95">
        <f t="shared" si="10"/>
        <v>6</v>
      </c>
      <c r="AN12" s="11">
        <f t="shared" si="11"/>
        <v>16.333333333333332</v>
      </c>
      <c r="AO12" s="12">
        <f t="shared" si="12"/>
        <v>85.964912280701753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3">
        <v>31</v>
      </c>
      <c r="D13" s="164"/>
      <c r="E13" s="164"/>
      <c r="F13" s="164">
        <v>28</v>
      </c>
      <c r="G13" s="164">
        <v>22</v>
      </c>
      <c r="H13" s="164">
        <v>20</v>
      </c>
      <c r="I13" s="164">
        <v>14</v>
      </c>
      <c r="J13" s="164"/>
      <c r="K13" s="164">
        <v>22</v>
      </c>
      <c r="L13" s="273">
        <v>20</v>
      </c>
      <c r="M13" s="164">
        <v>26</v>
      </c>
      <c r="N13" s="164"/>
      <c r="O13" s="165"/>
      <c r="P13" s="13">
        <f t="shared" si="2"/>
        <v>183</v>
      </c>
      <c r="Q13" s="11">
        <f t="shared" si="3"/>
        <v>8</v>
      </c>
      <c r="R13" s="11">
        <f t="shared" si="4"/>
        <v>22.875</v>
      </c>
      <c r="S13" s="12">
        <f t="shared" si="5"/>
        <v>99.456521739130437</v>
      </c>
      <c r="T13" s="70">
        <v>23</v>
      </c>
      <c r="U13" s="163">
        <v>28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28</v>
      </c>
      <c r="AI13" s="11">
        <f t="shared" si="7"/>
        <v>1</v>
      </c>
      <c r="AJ13" s="12">
        <f t="shared" si="8"/>
        <v>28</v>
      </c>
      <c r="AK13" s="77"/>
      <c r="AL13" s="124">
        <f t="shared" si="9"/>
        <v>211</v>
      </c>
      <c r="AM13" s="95">
        <f t="shared" si="10"/>
        <v>9</v>
      </c>
      <c r="AN13" s="11">
        <f t="shared" si="11"/>
        <v>23.444444444444443</v>
      </c>
      <c r="AO13" s="12">
        <f t="shared" si="12"/>
        <v>101.93236714975846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>SUM(J4:J18)-J8</f>
        <v>179</v>
      </c>
      <c r="K19" s="19">
        <f t="shared" si="14"/>
        <v>210</v>
      </c>
      <c r="L19" s="19">
        <f>SUM(L4:L18)+J8</f>
        <v>163</v>
      </c>
      <c r="M19" s="19">
        <f t="shared" si="14"/>
        <v>206</v>
      </c>
      <c r="N19" s="19">
        <f t="shared" si="14"/>
        <v>177</v>
      </c>
      <c r="O19" s="19">
        <f t="shared" ref="O19:Q19" si="15">SUM(O4:O18)</f>
        <v>218</v>
      </c>
      <c r="P19" s="19">
        <f t="shared" si="15"/>
        <v>2489</v>
      </c>
      <c r="Q19" s="19">
        <f t="shared" si="15"/>
        <v>78</v>
      </c>
      <c r="R19" s="19">
        <f>P19/Q19</f>
        <v>31.910256410256409</v>
      </c>
      <c r="S19" s="22"/>
      <c r="T19" s="179">
        <f>SUM(T4:T18)</f>
        <v>291</v>
      </c>
      <c r="U19" s="21">
        <f>SUM(U4:U18)</f>
        <v>243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243</v>
      </c>
      <c r="AI19" s="18">
        <f>SUM(AI4:AI18)</f>
        <v>6</v>
      </c>
      <c r="AJ19" s="23">
        <f>AH19/AI19</f>
        <v>40.5</v>
      </c>
      <c r="AK19" s="78"/>
      <c r="AL19" s="24">
        <f>SUM(AL4:AL18)</f>
        <v>2732</v>
      </c>
      <c r="AM19" s="18">
        <f>SUM(AM4:AM18)</f>
        <v>84</v>
      </c>
      <c r="AN19" s="18">
        <f t="shared" ref="AN19" si="18">AL19/AM19</f>
        <v>32.523809523809526</v>
      </c>
      <c r="AO19" s="20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46" priority="12" operator="equal">
      <formula>0</formula>
    </cfRule>
  </conditionalFormatting>
  <conditionalFormatting sqref="A19 C19:S19 U19:AO19">
    <cfRule type="containsErrors" dxfId="45" priority="14">
      <formula>ISERROR(A19)</formula>
    </cfRule>
  </conditionalFormatting>
  <conditionalFormatting sqref="B4:B19">
    <cfRule type="cellIs" dxfId="44" priority="11" operator="equal">
      <formula>0</formula>
    </cfRule>
  </conditionalFormatting>
  <conditionalFormatting sqref="P4:S18 C19:S19">
    <cfRule type="cellIs" dxfId="43" priority="5" operator="equal">
      <formula>0</formula>
    </cfRule>
  </conditionalFormatting>
  <conditionalFormatting sqref="T4:T19">
    <cfRule type="cellIs" dxfId="42" priority="1" operator="equal">
      <formula>0</formula>
    </cfRule>
  </conditionalFormatting>
  <conditionalFormatting sqref="AH4:AO18 U19:AO19">
    <cfRule type="cellIs" dxfId="41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zoomScaleNormal="100" workbookViewId="0">
      <selection activeCell="U16" sqref="U1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73"/>
      <c r="AL1" s="305" t="s">
        <v>41</v>
      </c>
      <c r="AM1" s="305"/>
      <c r="AN1" s="305"/>
      <c r="AO1" s="306"/>
    </row>
    <row r="2" spans="1:41" ht="121.5" customHeight="1" thickBot="1" x14ac:dyDescent="0.35">
      <c r="A2" s="307" t="s">
        <v>28</v>
      </c>
      <c r="B2" s="309" t="s">
        <v>42</v>
      </c>
      <c r="C2" s="311" t="s">
        <v>43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128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08"/>
      <c r="B3" s="31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2"/>
      <c r="AI3" s="298"/>
      <c r="AJ3" s="300"/>
      <c r="AK3" s="76"/>
      <c r="AL3" s="302"/>
      <c r="AM3" s="298"/>
      <c r="AN3" s="298"/>
      <c r="AO3" s="300"/>
    </row>
    <row r="4" spans="1:41" s="10" customFormat="1" ht="20.100000000000001" customHeight="1" x14ac:dyDescent="0.3">
      <c r="A4" s="177" t="s">
        <v>129</v>
      </c>
      <c r="B4" s="137">
        <v>24</v>
      </c>
      <c r="C4" s="160">
        <v>28</v>
      </c>
      <c r="D4" s="161"/>
      <c r="E4" s="161">
        <v>33</v>
      </c>
      <c r="F4" s="161"/>
      <c r="G4" s="161"/>
      <c r="H4" s="161"/>
      <c r="I4" s="161">
        <v>16</v>
      </c>
      <c r="J4" s="161">
        <v>36</v>
      </c>
      <c r="K4" s="161">
        <v>40</v>
      </c>
      <c r="L4" s="161">
        <v>23</v>
      </c>
      <c r="M4" s="161">
        <v>34</v>
      </c>
      <c r="N4" s="161"/>
      <c r="O4" s="162"/>
      <c r="P4" s="9">
        <f>SUM(C4:O4)</f>
        <v>210</v>
      </c>
      <c r="Q4" s="8">
        <f>COUNTIF(C4:O4,"&gt;0")</f>
        <v>7</v>
      </c>
      <c r="R4" s="8">
        <f>IF(P4=0," ",P4/Q4)</f>
        <v>30</v>
      </c>
      <c r="S4" s="94">
        <f>IF(P4=0," ",P4/(Q4*B4)*100)</f>
        <v>125</v>
      </c>
      <c r="T4" s="70">
        <v>24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210</v>
      </c>
      <c r="AM4" s="123">
        <f t="shared" ref="AM4" si="1">Q4+AI4</f>
        <v>7</v>
      </c>
      <c r="AN4" s="8">
        <f>IF(AL4=0," ",AL4/AM4)</f>
        <v>30</v>
      </c>
      <c r="AO4" s="94">
        <f>IF(AL4=0," ",AL4/(AM4*T4)*100)</f>
        <v>125</v>
      </c>
    </row>
    <row r="5" spans="1:41" s="10" customFormat="1" ht="20.100000000000001" customHeight="1" x14ac:dyDescent="0.3">
      <c r="A5" s="26" t="s">
        <v>130</v>
      </c>
      <c r="B5" s="70">
        <v>27</v>
      </c>
      <c r="C5" s="163">
        <v>22</v>
      </c>
      <c r="D5" s="164"/>
      <c r="E5" s="164">
        <v>29</v>
      </c>
      <c r="F5" s="164"/>
      <c r="G5" s="164"/>
      <c r="H5" s="164"/>
      <c r="I5" s="164"/>
      <c r="J5" s="164"/>
      <c r="K5" s="164">
        <v>34</v>
      </c>
      <c r="L5" s="164">
        <v>28</v>
      </c>
      <c r="M5" s="164"/>
      <c r="N5" s="164"/>
      <c r="O5" s="165">
        <v>42</v>
      </c>
      <c r="P5" s="13">
        <f t="shared" ref="P5:P18" si="2">SUM(C5:O5)</f>
        <v>155</v>
      </c>
      <c r="Q5" s="11">
        <f t="shared" ref="Q5:Q18" si="3">COUNTIF(C5:O5,"&gt;0")</f>
        <v>5</v>
      </c>
      <c r="R5" s="11">
        <f t="shared" ref="R5:R18" si="4">IF(P5=0," ",P5/Q5)</f>
        <v>31</v>
      </c>
      <c r="S5" s="12">
        <f t="shared" ref="S5:S18" si="5">IF(P5=0," ",P5/(Q5*B5)*100)</f>
        <v>114.81481481481481</v>
      </c>
      <c r="T5" s="70">
        <v>27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155</v>
      </c>
      <c r="AM5" s="95">
        <f t="shared" ref="AM5:AM18" si="10">Q5+AI5</f>
        <v>5</v>
      </c>
      <c r="AN5" s="11">
        <f t="shared" ref="AN5:AN18" si="11">IF(AL5=0," ",AL5/AM5)</f>
        <v>31</v>
      </c>
      <c r="AO5" s="12">
        <f t="shared" ref="AO5:AO18" si="12">IF(AL5=0," ",AL5/(AM5*T5)*100)</f>
        <v>114.81481481481481</v>
      </c>
    </row>
    <row r="6" spans="1:41" s="10" customFormat="1" ht="20.100000000000001" customHeight="1" x14ac:dyDescent="0.3">
      <c r="A6" s="69" t="s">
        <v>131</v>
      </c>
      <c r="B6" s="70">
        <v>69</v>
      </c>
      <c r="C6" s="163"/>
      <c r="D6" s="164">
        <v>68</v>
      </c>
      <c r="E6" s="164"/>
      <c r="F6" s="164"/>
      <c r="G6" s="164"/>
      <c r="H6" s="164"/>
      <c r="I6" s="164">
        <v>58</v>
      </c>
      <c r="J6" s="164">
        <v>59</v>
      </c>
      <c r="K6" s="164"/>
      <c r="L6" s="164"/>
      <c r="M6" s="164"/>
      <c r="N6" s="164"/>
      <c r="O6" s="165"/>
      <c r="P6" s="13">
        <f t="shared" si="2"/>
        <v>185</v>
      </c>
      <c r="Q6" s="11">
        <f t="shared" si="3"/>
        <v>3</v>
      </c>
      <c r="R6" s="11">
        <f t="shared" si="4"/>
        <v>61.666666666666664</v>
      </c>
      <c r="S6" s="12">
        <f t="shared" si="5"/>
        <v>89.371980676328505</v>
      </c>
      <c r="T6" s="70">
        <v>69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11">
        <f t="shared" si="11"/>
        <v>61.666666666666664</v>
      </c>
      <c r="AO6" s="12">
        <f t="shared" si="12"/>
        <v>89.371980676328505</v>
      </c>
    </row>
    <row r="7" spans="1:41" s="10" customFormat="1" ht="20.100000000000001" customHeight="1" x14ac:dyDescent="0.3">
      <c r="A7" s="26" t="s">
        <v>132</v>
      </c>
      <c r="B7" s="70">
        <v>29</v>
      </c>
      <c r="C7" s="163">
        <v>22</v>
      </c>
      <c r="D7" s="164"/>
      <c r="E7" s="164">
        <v>39</v>
      </c>
      <c r="F7" s="164">
        <v>25</v>
      </c>
      <c r="G7" s="164">
        <v>24</v>
      </c>
      <c r="H7" s="164"/>
      <c r="I7" s="164"/>
      <c r="J7" s="164"/>
      <c r="K7" s="164">
        <v>19</v>
      </c>
      <c r="L7" s="164">
        <v>46</v>
      </c>
      <c r="M7" s="164">
        <v>33</v>
      </c>
      <c r="N7" s="164">
        <v>38</v>
      </c>
      <c r="O7" s="165"/>
      <c r="P7" s="13">
        <f t="shared" si="2"/>
        <v>246</v>
      </c>
      <c r="Q7" s="11">
        <f t="shared" si="3"/>
        <v>8</v>
      </c>
      <c r="R7" s="11">
        <f t="shared" si="4"/>
        <v>30.75</v>
      </c>
      <c r="S7" s="12">
        <f t="shared" si="5"/>
        <v>106.03448275862068</v>
      </c>
      <c r="T7" s="70">
        <v>29</v>
      </c>
      <c r="U7" s="163">
        <v>44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44</v>
      </c>
      <c r="AI7" s="11">
        <f t="shared" si="7"/>
        <v>1</v>
      </c>
      <c r="AJ7" s="12">
        <f t="shared" si="8"/>
        <v>44</v>
      </c>
      <c r="AK7" s="77"/>
      <c r="AL7" s="124">
        <f t="shared" si="9"/>
        <v>290</v>
      </c>
      <c r="AM7" s="95">
        <f t="shared" si="10"/>
        <v>9</v>
      </c>
      <c r="AN7" s="11">
        <f t="shared" si="11"/>
        <v>32.222222222222221</v>
      </c>
      <c r="AO7" s="12">
        <f t="shared" si="12"/>
        <v>111.11111111111111</v>
      </c>
    </row>
    <row r="8" spans="1:41" s="10" customFormat="1" ht="20.100000000000001" customHeight="1" x14ac:dyDescent="0.3">
      <c r="A8" s="26" t="s">
        <v>133</v>
      </c>
      <c r="B8" s="70">
        <v>17</v>
      </c>
      <c r="C8" s="163"/>
      <c r="D8" s="164"/>
      <c r="E8" s="164"/>
      <c r="F8" s="164">
        <v>13</v>
      </c>
      <c r="G8" s="164"/>
      <c r="H8" s="164">
        <v>14</v>
      </c>
      <c r="I8" s="164"/>
      <c r="J8" s="164"/>
      <c r="K8" s="164"/>
      <c r="L8" s="164"/>
      <c r="M8" s="164">
        <v>18</v>
      </c>
      <c r="N8" s="164">
        <v>15</v>
      </c>
      <c r="O8" s="165"/>
      <c r="P8" s="13">
        <f t="shared" si="2"/>
        <v>60</v>
      </c>
      <c r="Q8" s="11">
        <f t="shared" si="3"/>
        <v>4</v>
      </c>
      <c r="R8" s="11">
        <f t="shared" si="4"/>
        <v>15</v>
      </c>
      <c r="S8" s="12">
        <f t="shared" si="5"/>
        <v>88.235294117647058</v>
      </c>
      <c r="T8" s="70">
        <v>17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60</v>
      </c>
      <c r="AM8" s="95">
        <f t="shared" si="10"/>
        <v>4</v>
      </c>
      <c r="AN8" s="11">
        <f t="shared" si="11"/>
        <v>15</v>
      </c>
      <c r="AO8" s="12">
        <f t="shared" si="12"/>
        <v>88.235294117647058</v>
      </c>
    </row>
    <row r="9" spans="1:41" s="10" customFormat="1" ht="20.100000000000001" customHeight="1" x14ac:dyDescent="0.3">
      <c r="A9" s="26" t="s">
        <v>134</v>
      </c>
      <c r="B9" s="70">
        <v>18</v>
      </c>
      <c r="C9" s="163"/>
      <c r="D9" s="164">
        <v>19</v>
      </c>
      <c r="E9" s="164">
        <v>15</v>
      </c>
      <c r="F9" s="164"/>
      <c r="G9" s="164">
        <v>10</v>
      </c>
      <c r="H9" s="164">
        <v>19</v>
      </c>
      <c r="I9" s="164">
        <v>23</v>
      </c>
      <c r="J9" s="164">
        <v>13</v>
      </c>
      <c r="K9" s="164"/>
      <c r="L9" s="164"/>
      <c r="M9" s="164"/>
      <c r="N9" s="164"/>
      <c r="O9" s="165">
        <v>29</v>
      </c>
      <c r="P9" s="13">
        <f t="shared" si="2"/>
        <v>128</v>
      </c>
      <c r="Q9" s="11">
        <f t="shared" si="3"/>
        <v>7</v>
      </c>
      <c r="R9" s="11">
        <f t="shared" si="4"/>
        <v>18.285714285714285</v>
      </c>
      <c r="S9" s="12">
        <f t="shared" si="5"/>
        <v>101.58730158730158</v>
      </c>
      <c r="T9" s="70">
        <v>18</v>
      </c>
      <c r="U9" s="163">
        <v>11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11</v>
      </c>
      <c r="AI9" s="11">
        <f t="shared" si="7"/>
        <v>1</v>
      </c>
      <c r="AJ9" s="12">
        <f t="shared" si="8"/>
        <v>11</v>
      </c>
      <c r="AK9" s="77"/>
      <c r="AL9" s="124">
        <f t="shared" si="9"/>
        <v>139</v>
      </c>
      <c r="AM9" s="95">
        <f t="shared" si="10"/>
        <v>8</v>
      </c>
      <c r="AN9" s="11">
        <f t="shared" si="11"/>
        <v>17.375</v>
      </c>
      <c r="AO9" s="12">
        <f t="shared" si="12"/>
        <v>96.527777777777786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3">
        <v>21</v>
      </c>
      <c r="D10" s="164"/>
      <c r="E10" s="164"/>
      <c r="F10" s="164"/>
      <c r="G10" s="164"/>
      <c r="H10" s="164"/>
      <c r="I10" s="164">
        <v>19</v>
      </c>
      <c r="J10" s="164">
        <v>17</v>
      </c>
      <c r="K10" s="164">
        <v>28</v>
      </c>
      <c r="L10" s="164">
        <v>15</v>
      </c>
      <c r="M10" s="164"/>
      <c r="N10" s="164"/>
      <c r="O10" s="165">
        <v>27</v>
      </c>
      <c r="P10" s="13">
        <f t="shared" si="2"/>
        <v>127</v>
      </c>
      <c r="Q10" s="11">
        <f t="shared" si="3"/>
        <v>6</v>
      </c>
      <c r="R10" s="11">
        <f t="shared" si="4"/>
        <v>21.166666666666668</v>
      </c>
      <c r="S10" s="12">
        <f t="shared" si="5"/>
        <v>75.595238095238088</v>
      </c>
      <c r="T10" s="70">
        <v>28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127</v>
      </c>
      <c r="AM10" s="95">
        <f t="shared" si="10"/>
        <v>6</v>
      </c>
      <c r="AN10" s="11">
        <f t="shared" si="11"/>
        <v>21.166666666666668</v>
      </c>
      <c r="AO10" s="12">
        <f t="shared" si="12"/>
        <v>75.595238095238088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3"/>
      <c r="D11" s="164">
        <v>76</v>
      </c>
      <c r="E11" s="164"/>
      <c r="F11" s="164">
        <v>63</v>
      </c>
      <c r="G11" s="164">
        <v>94</v>
      </c>
      <c r="H11" s="164">
        <v>43</v>
      </c>
      <c r="I11" s="164"/>
      <c r="J11" s="164"/>
      <c r="K11" s="164"/>
      <c r="L11" s="164"/>
      <c r="M11" s="164"/>
      <c r="N11" s="164">
        <v>39</v>
      </c>
      <c r="O11" s="165"/>
      <c r="P11" s="13">
        <f t="shared" si="2"/>
        <v>315</v>
      </c>
      <c r="Q11" s="11">
        <f t="shared" si="3"/>
        <v>5</v>
      </c>
      <c r="R11" s="11">
        <f t="shared" si="4"/>
        <v>63</v>
      </c>
      <c r="S11" s="12">
        <f t="shared" si="5"/>
        <v>101.61290322580645</v>
      </c>
      <c r="T11" s="70">
        <v>62</v>
      </c>
      <c r="U11" s="163">
        <v>52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52</v>
      </c>
      <c r="AI11" s="11">
        <f t="shared" si="7"/>
        <v>1</v>
      </c>
      <c r="AJ11" s="12">
        <f t="shared" si="8"/>
        <v>52</v>
      </c>
      <c r="AK11" s="77"/>
      <c r="AL11" s="124">
        <f t="shared" si="9"/>
        <v>367</v>
      </c>
      <c r="AM11" s="95">
        <f t="shared" si="10"/>
        <v>6</v>
      </c>
      <c r="AN11" s="11">
        <f t="shared" si="11"/>
        <v>61.166666666666664</v>
      </c>
      <c r="AO11" s="12">
        <f t="shared" si="12"/>
        <v>98.655913978494624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3"/>
      <c r="D12" s="164"/>
      <c r="E12" s="164">
        <v>15</v>
      </c>
      <c r="F12" s="164">
        <v>29</v>
      </c>
      <c r="G12" s="164">
        <v>44</v>
      </c>
      <c r="H12" s="164">
        <v>26</v>
      </c>
      <c r="I12" s="164"/>
      <c r="J12" s="164"/>
      <c r="K12" s="164"/>
      <c r="L12" s="164"/>
      <c r="M12" s="164">
        <v>25</v>
      </c>
      <c r="N12" s="164"/>
      <c r="O12" s="165"/>
      <c r="P12" s="13">
        <f t="shared" si="2"/>
        <v>139</v>
      </c>
      <c r="Q12" s="11">
        <f t="shared" si="3"/>
        <v>5</v>
      </c>
      <c r="R12" s="11">
        <f t="shared" si="4"/>
        <v>27.8</v>
      </c>
      <c r="S12" s="12">
        <f t="shared" si="5"/>
        <v>111.20000000000002</v>
      </c>
      <c r="T12" s="70">
        <v>25</v>
      </c>
      <c r="U12" s="163">
        <v>38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38</v>
      </c>
      <c r="AI12" s="11">
        <f t="shared" si="7"/>
        <v>1</v>
      </c>
      <c r="AJ12" s="12">
        <f t="shared" si="8"/>
        <v>38</v>
      </c>
      <c r="AK12" s="77"/>
      <c r="AL12" s="124">
        <f t="shared" si="9"/>
        <v>177</v>
      </c>
      <c r="AM12" s="95">
        <f t="shared" si="10"/>
        <v>6</v>
      </c>
      <c r="AN12" s="11">
        <f t="shared" si="11"/>
        <v>29.5</v>
      </c>
      <c r="AO12" s="12">
        <f t="shared" si="12"/>
        <v>118</v>
      </c>
    </row>
    <row r="13" spans="1:41" s="10" customFormat="1" ht="20.100000000000001" customHeight="1" x14ac:dyDescent="0.3">
      <c r="A13" s="26" t="s">
        <v>369</v>
      </c>
      <c r="B13" s="131">
        <v>26</v>
      </c>
      <c r="C13" s="163">
        <v>33</v>
      </c>
      <c r="D13" s="164"/>
      <c r="E13" s="164"/>
      <c r="F13" s="164"/>
      <c r="G13" s="164"/>
      <c r="H13" s="164"/>
      <c r="I13" s="164"/>
      <c r="J13" s="164">
        <v>20</v>
      </c>
      <c r="K13" s="164">
        <v>24</v>
      </c>
      <c r="L13" s="164">
        <v>29</v>
      </c>
      <c r="M13" s="164"/>
      <c r="N13" s="164">
        <v>21</v>
      </c>
      <c r="O13" s="165"/>
      <c r="P13" s="13">
        <f t="shared" si="2"/>
        <v>127</v>
      </c>
      <c r="Q13" s="11">
        <f t="shared" si="3"/>
        <v>5</v>
      </c>
      <c r="R13" s="11">
        <f t="shared" si="4"/>
        <v>25.4</v>
      </c>
      <c r="S13" s="12">
        <f t="shared" si="5"/>
        <v>97.692307692307693</v>
      </c>
      <c r="T13" s="276">
        <v>25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127</v>
      </c>
      <c r="AM13" s="95">
        <f t="shared" si="10"/>
        <v>5</v>
      </c>
      <c r="AN13" s="11">
        <f t="shared" si="11"/>
        <v>25.4</v>
      </c>
      <c r="AO13" s="12">
        <f t="shared" si="12"/>
        <v>101.6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3">
        <v>22</v>
      </c>
      <c r="D14" s="164"/>
      <c r="E14" s="164">
        <v>22</v>
      </c>
      <c r="F14" s="164">
        <v>37</v>
      </c>
      <c r="G14" s="164"/>
      <c r="H14" s="164"/>
      <c r="I14" s="164"/>
      <c r="J14" s="164"/>
      <c r="K14" s="164">
        <v>17</v>
      </c>
      <c r="L14" s="164">
        <v>36</v>
      </c>
      <c r="M14" s="164"/>
      <c r="N14" s="164">
        <v>17</v>
      </c>
      <c r="O14" s="165">
        <v>49</v>
      </c>
      <c r="P14" s="13">
        <f t="shared" si="2"/>
        <v>200</v>
      </c>
      <c r="Q14" s="11">
        <f t="shared" si="3"/>
        <v>7</v>
      </c>
      <c r="R14" s="11">
        <f t="shared" si="4"/>
        <v>28.571428571428573</v>
      </c>
      <c r="S14" s="12">
        <f t="shared" si="5"/>
        <v>84.033613445378151</v>
      </c>
      <c r="T14" s="70">
        <v>34</v>
      </c>
      <c r="U14" s="163">
        <v>18</v>
      </c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18</v>
      </c>
      <c r="AI14" s="11">
        <f t="shared" si="7"/>
        <v>1</v>
      </c>
      <c r="AJ14" s="12">
        <f t="shared" si="8"/>
        <v>18</v>
      </c>
      <c r="AK14" s="77"/>
      <c r="AL14" s="124">
        <f t="shared" si="9"/>
        <v>218</v>
      </c>
      <c r="AM14" s="95">
        <f t="shared" si="10"/>
        <v>8</v>
      </c>
      <c r="AN14" s="11">
        <f t="shared" si="11"/>
        <v>27.25</v>
      </c>
      <c r="AO14" s="12">
        <f t="shared" si="12"/>
        <v>80.14705882352942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3"/>
      <c r="D15" s="164">
        <v>9</v>
      </c>
      <c r="E15" s="164"/>
      <c r="F15" s="164">
        <v>13</v>
      </c>
      <c r="G15" s="164">
        <v>21</v>
      </c>
      <c r="H15" s="164">
        <v>27</v>
      </c>
      <c r="I15" s="164"/>
      <c r="J15" s="164"/>
      <c r="K15" s="164"/>
      <c r="L15" s="164"/>
      <c r="M15" s="164">
        <v>18</v>
      </c>
      <c r="N15" s="164">
        <v>21</v>
      </c>
      <c r="O15" s="165">
        <v>11</v>
      </c>
      <c r="P15" s="13">
        <f t="shared" si="2"/>
        <v>120</v>
      </c>
      <c r="Q15" s="11">
        <f t="shared" si="3"/>
        <v>7</v>
      </c>
      <c r="R15" s="11">
        <f t="shared" si="4"/>
        <v>17.142857142857142</v>
      </c>
      <c r="S15" s="12">
        <f t="shared" si="5"/>
        <v>100.84033613445378</v>
      </c>
      <c r="T15" s="70">
        <v>17</v>
      </c>
      <c r="U15" s="163">
        <v>22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22</v>
      </c>
      <c r="AI15" s="11">
        <f t="shared" si="7"/>
        <v>1</v>
      </c>
      <c r="AJ15" s="12">
        <f t="shared" si="8"/>
        <v>22</v>
      </c>
      <c r="AK15" s="77"/>
      <c r="AL15" s="124">
        <f t="shared" si="9"/>
        <v>142</v>
      </c>
      <c r="AM15" s="95">
        <f t="shared" si="10"/>
        <v>8</v>
      </c>
      <c r="AN15" s="11">
        <f t="shared" si="11"/>
        <v>17.75</v>
      </c>
      <c r="AO15" s="12">
        <f t="shared" si="12"/>
        <v>104.41176470588236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3"/>
      <c r="D16" s="164">
        <v>20</v>
      </c>
      <c r="E16" s="164"/>
      <c r="F16" s="164"/>
      <c r="G16" s="164">
        <v>63</v>
      </c>
      <c r="H16" s="164"/>
      <c r="I16" s="164">
        <v>38</v>
      </c>
      <c r="J16" s="164"/>
      <c r="K16" s="164"/>
      <c r="L16" s="164"/>
      <c r="M16" s="164"/>
      <c r="N16" s="164"/>
      <c r="O16" s="165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121</v>
      </c>
      <c r="AM16" s="95">
        <f t="shared" si="10"/>
        <v>3</v>
      </c>
      <c r="AN16" s="11">
        <f t="shared" si="11"/>
        <v>40.333333333333336</v>
      </c>
      <c r="AO16" s="12">
        <f t="shared" si="12"/>
        <v>93.798449612403104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3"/>
      <c r="D17" s="164">
        <v>30</v>
      </c>
      <c r="E17" s="164"/>
      <c r="F17" s="164"/>
      <c r="G17" s="164"/>
      <c r="H17" s="164">
        <v>80</v>
      </c>
      <c r="I17" s="164">
        <v>26</v>
      </c>
      <c r="J17" s="164">
        <v>43</v>
      </c>
      <c r="K17" s="164"/>
      <c r="L17" s="164"/>
      <c r="M17" s="164">
        <v>40</v>
      </c>
      <c r="N17" s="164"/>
      <c r="O17" s="165">
        <v>41</v>
      </c>
      <c r="P17" s="13">
        <f t="shared" si="2"/>
        <v>260</v>
      </c>
      <c r="Q17" s="11">
        <f t="shared" si="3"/>
        <v>6</v>
      </c>
      <c r="R17" s="11">
        <f t="shared" si="4"/>
        <v>43.333333333333336</v>
      </c>
      <c r="S17" s="12">
        <f t="shared" si="5"/>
        <v>117.11711711711712</v>
      </c>
      <c r="T17" s="70">
        <v>37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260</v>
      </c>
      <c r="AM17" s="95">
        <f t="shared" si="10"/>
        <v>6</v>
      </c>
      <c r="AN17" s="11">
        <f t="shared" si="11"/>
        <v>43.333333333333336</v>
      </c>
      <c r="AO17" s="12">
        <f t="shared" si="12"/>
        <v>117.11711711711712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59">
        <f>COUNT(B3:B18)</f>
        <v>15</v>
      </c>
      <c r="B19" s="180">
        <f t="shared" ref="B19:P19" si="13">SUM(B4:B18)</f>
        <v>456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188</v>
      </c>
      <c r="K19" s="19">
        <f t="shared" si="13"/>
        <v>162</v>
      </c>
      <c r="L19" s="19">
        <f t="shared" si="13"/>
        <v>177</v>
      </c>
      <c r="M19" s="19">
        <f t="shared" si="13"/>
        <v>168</v>
      </c>
      <c r="N19" s="19">
        <f t="shared" si="13"/>
        <v>151</v>
      </c>
      <c r="O19" s="19">
        <f t="shared" si="13"/>
        <v>199</v>
      </c>
      <c r="P19" s="19">
        <f t="shared" si="13"/>
        <v>2393</v>
      </c>
      <c r="Q19" s="19">
        <f>SUM(Q4:Q15)</f>
        <v>69</v>
      </c>
      <c r="R19" s="19">
        <f>P19/Q19</f>
        <v>34.681159420289852</v>
      </c>
      <c r="S19" s="22"/>
      <c r="T19" s="179">
        <f>SUM(T4:T18)</f>
        <v>455</v>
      </c>
      <c r="U19" s="21">
        <f t="shared" ref="U19:AI19" si="14">SUM(U4:U18)</f>
        <v>185</v>
      </c>
      <c r="V19" s="19">
        <f t="shared" si="14"/>
        <v>0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185</v>
      </c>
      <c r="AI19" s="18">
        <f t="shared" si="14"/>
        <v>6</v>
      </c>
      <c r="AJ19" s="23">
        <f>AH19/AI19</f>
        <v>30.833333333333332</v>
      </c>
      <c r="AK19" s="78"/>
      <c r="AL19" s="24">
        <f>SUM(AL4:AL18)</f>
        <v>2578</v>
      </c>
      <c r="AM19" s="18">
        <f>SUM(AM4:AM18)</f>
        <v>84</v>
      </c>
      <c r="AN19" s="18">
        <f t="shared" ref="AN19" si="16">AL19/AM19</f>
        <v>30.69047619047619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40" priority="14" operator="equal">
      <formula>0</formula>
    </cfRule>
  </conditionalFormatting>
  <conditionalFormatting sqref="A19 C19:S19 U19:AO19">
    <cfRule type="containsErrors" dxfId="39" priority="16">
      <formula>ISERROR(A19)</formula>
    </cfRule>
  </conditionalFormatting>
  <conditionalFormatting sqref="B4:B19">
    <cfRule type="cellIs" dxfId="38" priority="13" operator="equal">
      <formula>0</formula>
    </cfRule>
  </conditionalFormatting>
  <conditionalFormatting sqref="P4:S18 C19:S19">
    <cfRule type="cellIs" dxfId="37" priority="5" operator="equal">
      <formula>0</formula>
    </cfRule>
  </conditionalFormatting>
  <conditionalFormatting sqref="T4:T19">
    <cfRule type="cellIs" dxfId="36" priority="1" operator="equal">
      <formula>0</formula>
    </cfRule>
  </conditionalFormatting>
  <conditionalFormatting sqref="AH4:AO18 U19:AO19">
    <cfRule type="cellIs" dxfId="35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zoomScale="115" zoomScaleNormal="115" workbookViewId="0">
      <selection activeCell="U11" sqref="U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5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73"/>
      <c r="AL1" s="305" t="s">
        <v>41</v>
      </c>
      <c r="AM1" s="305"/>
      <c r="AN1" s="305"/>
      <c r="AO1" s="306"/>
    </row>
    <row r="2" spans="1:45" ht="121.5" customHeight="1" thickBot="1" x14ac:dyDescent="0.35">
      <c r="A2" s="324" t="s">
        <v>142</v>
      </c>
      <c r="B2" s="309" t="s">
        <v>42</v>
      </c>
      <c r="C2" s="311" t="s">
        <v>98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99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5" ht="15" customHeight="1" thickBot="1" x14ac:dyDescent="0.35">
      <c r="A3" s="325"/>
      <c r="B3" s="31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2"/>
      <c r="AI3" s="298"/>
      <c r="AJ3" s="300"/>
      <c r="AK3" s="76"/>
      <c r="AL3" s="302"/>
      <c r="AM3" s="298"/>
      <c r="AN3" s="298"/>
      <c r="AO3" s="300"/>
    </row>
    <row r="4" spans="1:45" s="10" customFormat="1" ht="20.100000000000001" customHeight="1" x14ac:dyDescent="0.2">
      <c r="A4" s="177" t="s">
        <v>143</v>
      </c>
      <c r="B4" s="137">
        <v>38</v>
      </c>
      <c r="C4" s="160">
        <v>65</v>
      </c>
      <c r="D4" s="161">
        <v>38</v>
      </c>
      <c r="E4" s="161">
        <v>31</v>
      </c>
      <c r="F4" s="161"/>
      <c r="G4" s="161">
        <v>30</v>
      </c>
      <c r="H4" s="161">
        <v>30</v>
      </c>
      <c r="I4" s="161"/>
      <c r="J4" s="161"/>
      <c r="K4" s="161">
        <v>46</v>
      </c>
      <c r="L4" s="161">
        <v>51</v>
      </c>
      <c r="M4" s="161"/>
      <c r="N4" s="161">
        <v>49</v>
      </c>
      <c r="O4" s="162">
        <v>23</v>
      </c>
      <c r="P4" s="9">
        <f>SUM(C4:O4)</f>
        <v>363</v>
      </c>
      <c r="Q4" s="8">
        <f>COUNTIF(C4:O4,"&gt;0")</f>
        <v>9</v>
      </c>
      <c r="R4" s="8">
        <f>IF(P4=0," ",P4/Q4)</f>
        <v>40.333333333333336</v>
      </c>
      <c r="S4" s="94">
        <f>IF(P4=0," ",P4/(Q4*B4)*100)</f>
        <v>106.14035087719299</v>
      </c>
      <c r="T4" s="70">
        <v>38</v>
      </c>
      <c r="U4" s="160">
        <v>36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36</v>
      </c>
      <c r="AI4" s="8">
        <f>COUNTIF(U4:AG4,"&gt;0")</f>
        <v>1</v>
      </c>
      <c r="AJ4" s="94">
        <f>IF(AH4=0," ",AH4/AI4)</f>
        <v>36</v>
      </c>
      <c r="AK4" s="77"/>
      <c r="AL4" s="122">
        <f t="shared" ref="AL4" si="0">P4+AH4</f>
        <v>399</v>
      </c>
      <c r="AM4" s="123">
        <f t="shared" ref="AM4" si="1">Q4+AI4</f>
        <v>10</v>
      </c>
      <c r="AN4" s="8">
        <f>IF(AL4=0," ",AL4/AM4)</f>
        <v>39.9</v>
      </c>
      <c r="AO4" s="94">
        <f>IF(AL4=0," ",AL4/(AM4*T4)*100)</f>
        <v>105</v>
      </c>
      <c r="AS4" s="225"/>
    </row>
    <row r="5" spans="1:45" s="10" customFormat="1" ht="20.100000000000001" customHeight="1" x14ac:dyDescent="0.3">
      <c r="A5" s="26" t="s">
        <v>144</v>
      </c>
      <c r="B5" s="70">
        <v>20</v>
      </c>
      <c r="C5" s="163"/>
      <c r="D5" s="164">
        <v>23</v>
      </c>
      <c r="E5" s="164"/>
      <c r="F5" s="164">
        <v>16</v>
      </c>
      <c r="G5" s="164"/>
      <c r="H5" s="164">
        <v>15</v>
      </c>
      <c r="I5" s="164"/>
      <c r="J5" s="164">
        <v>25</v>
      </c>
      <c r="K5" s="164"/>
      <c r="L5" s="164">
        <v>12</v>
      </c>
      <c r="M5" s="164">
        <v>14</v>
      </c>
      <c r="N5" s="164"/>
      <c r="O5" s="165">
        <v>27</v>
      </c>
      <c r="P5" s="13">
        <f t="shared" ref="P5:P18" si="2">SUM(C5:O5)</f>
        <v>132</v>
      </c>
      <c r="Q5" s="11">
        <f t="shared" ref="Q5:Q18" si="3">COUNTIF(C5:O5,"&gt;0")</f>
        <v>7</v>
      </c>
      <c r="R5" s="11">
        <f t="shared" ref="R5:R18" si="4">IF(P5=0," ",P5/Q5)</f>
        <v>18.857142857142858</v>
      </c>
      <c r="S5" s="12">
        <f t="shared" ref="S5:S18" si="5">IF(P5=0," ",P5/(Q5*B5)*100)</f>
        <v>94.285714285714278</v>
      </c>
      <c r="T5" s="70">
        <v>20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132</v>
      </c>
      <c r="AM5" s="95">
        <f t="shared" ref="AM5:AM18" si="10">Q5+AI5</f>
        <v>7</v>
      </c>
      <c r="AN5" s="11">
        <f t="shared" ref="AN5:AN18" si="11">IF(AL5=0," ",AL5/AM5)</f>
        <v>18.857142857142858</v>
      </c>
      <c r="AO5" s="12">
        <f t="shared" ref="AO5:AO18" si="12">IF(AL5=0," ",AL5/(AM5*T5)*100)</f>
        <v>94.285714285714278</v>
      </c>
    </row>
    <row r="6" spans="1:45" s="10" customFormat="1" ht="20.100000000000001" customHeight="1" x14ac:dyDescent="0.3">
      <c r="A6" s="26" t="s">
        <v>145</v>
      </c>
      <c r="B6" s="70">
        <v>15</v>
      </c>
      <c r="C6" s="163">
        <v>13</v>
      </c>
      <c r="D6" s="164">
        <v>13</v>
      </c>
      <c r="E6" s="164"/>
      <c r="F6" s="164">
        <v>14</v>
      </c>
      <c r="G6" s="164">
        <v>12</v>
      </c>
      <c r="H6" s="164">
        <v>8</v>
      </c>
      <c r="I6" s="164">
        <v>13</v>
      </c>
      <c r="J6" s="164"/>
      <c r="K6" s="164">
        <v>14</v>
      </c>
      <c r="L6" s="164">
        <v>13</v>
      </c>
      <c r="M6" s="164"/>
      <c r="N6" s="164">
        <v>9</v>
      </c>
      <c r="O6" s="165"/>
      <c r="P6" s="13">
        <f t="shared" si="2"/>
        <v>109</v>
      </c>
      <c r="Q6" s="11">
        <f t="shared" si="3"/>
        <v>9</v>
      </c>
      <c r="R6" s="11">
        <f t="shared" si="4"/>
        <v>12.111111111111111</v>
      </c>
      <c r="S6" s="12">
        <f t="shared" si="5"/>
        <v>80.740740740740748</v>
      </c>
      <c r="T6" s="70">
        <v>15</v>
      </c>
      <c r="U6" s="163">
        <v>16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16</v>
      </c>
      <c r="AI6" s="11">
        <f t="shared" si="7"/>
        <v>1</v>
      </c>
      <c r="AJ6" s="12">
        <f t="shared" si="8"/>
        <v>16</v>
      </c>
      <c r="AK6" s="77"/>
      <c r="AL6" s="124">
        <f t="shared" si="9"/>
        <v>125</v>
      </c>
      <c r="AM6" s="95">
        <f t="shared" si="10"/>
        <v>10</v>
      </c>
      <c r="AN6" s="11">
        <f t="shared" si="11"/>
        <v>12.5</v>
      </c>
      <c r="AO6" s="12">
        <f t="shared" si="12"/>
        <v>83.333333333333343</v>
      </c>
    </row>
    <row r="7" spans="1:45" s="10" customFormat="1" ht="20.100000000000001" customHeight="1" x14ac:dyDescent="0.3">
      <c r="A7" s="26" t="s">
        <v>146</v>
      </c>
      <c r="B7" s="70">
        <v>79</v>
      </c>
      <c r="C7" s="163">
        <v>73</v>
      </c>
      <c r="D7" s="164">
        <v>51</v>
      </c>
      <c r="E7" s="164">
        <v>99</v>
      </c>
      <c r="F7" s="164">
        <v>57</v>
      </c>
      <c r="G7" s="164">
        <v>93</v>
      </c>
      <c r="H7" s="164">
        <v>78</v>
      </c>
      <c r="I7" s="164">
        <v>65</v>
      </c>
      <c r="J7" s="164">
        <v>68</v>
      </c>
      <c r="K7" s="164"/>
      <c r="L7" s="164">
        <v>90</v>
      </c>
      <c r="M7" s="164">
        <v>64</v>
      </c>
      <c r="N7" s="164"/>
      <c r="O7" s="165"/>
      <c r="P7" s="13">
        <f t="shared" si="2"/>
        <v>738</v>
      </c>
      <c r="Q7" s="11">
        <f t="shared" si="3"/>
        <v>10</v>
      </c>
      <c r="R7" s="11">
        <f t="shared" si="4"/>
        <v>73.8</v>
      </c>
      <c r="S7" s="12">
        <f t="shared" si="5"/>
        <v>93.417721518987335</v>
      </c>
      <c r="T7" s="70">
        <v>79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738</v>
      </c>
      <c r="AM7" s="95">
        <f t="shared" si="10"/>
        <v>10</v>
      </c>
      <c r="AN7" s="11">
        <f t="shared" si="11"/>
        <v>73.8</v>
      </c>
      <c r="AO7" s="12">
        <f t="shared" si="12"/>
        <v>93.417721518987335</v>
      </c>
    </row>
    <row r="8" spans="1:45" s="10" customFormat="1" ht="20.100000000000001" customHeight="1" x14ac:dyDescent="0.3">
      <c r="A8" s="26" t="s">
        <v>311</v>
      </c>
      <c r="B8" s="70">
        <v>51</v>
      </c>
      <c r="C8" s="163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5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5" s="10" customFormat="1" ht="20.100000000000001" customHeight="1" x14ac:dyDescent="0.3">
      <c r="A9" s="26" t="s">
        <v>147</v>
      </c>
      <c r="B9" s="70">
        <v>37</v>
      </c>
      <c r="C9" s="163">
        <v>55</v>
      </c>
      <c r="D9" s="164">
        <v>34</v>
      </c>
      <c r="E9" s="164">
        <v>50</v>
      </c>
      <c r="F9" s="164">
        <v>54</v>
      </c>
      <c r="G9" s="164">
        <v>32</v>
      </c>
      <c r="H9" s="164"/>
      <c r="I9" s="164">
        <v>33</v>
      </c>
      <c r="J9" s="164"/>
      <c r="K9" s="164">
        <v>55</v>
      </c>
      <c r="L9" s="164">
        <v>38</v>
      </c>
      <c r="M9" s="164">
        <v>55</v>
      </c>
      <c r="N9" s="164">
        <v>51</v>
      </c>
      <c r="O9" s="165">
        <v>27</v>
      </c>
      <c r="P9" s="13">
        <f t="shared" si="2"/>
        <v>484</v>
      </c>
      <c r="Q9" s="11">
        <f t="shared" si="3"/>
        <v>11</v>
      </c>
      <c r="R9" s="11">
        <f t="shared" si="4"/>
        <v>44</v>
      </c>
      <c r="S9" s="12">
        <f t="shared" si="5"/>
        <v>118.91891891891892</v>
      </c>
      <c r="T9" s="70">
        <v>37</v>
      </c>
      <c r="U9" s="163">
        <v>20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20</v>
      </c>
      <c r="AI9" s="11">
        <f t="shared" si="7"/>
        <v>1</v>
      </c>
      <c r="AJ9" s="12">
        <f t="shared" si="8"/>
        <v>20</v>
      </c>
      <c r="AK9" s="77"/>
      <c r="AL9" s="124">
        <f t="shared" si="9"/>
        <v>504</v>
      </c>
      <c r="AM9" s="95">
        <f t="shared" si="10"/>
        <v>12</v>
      </c>
      <c r="AN9" s="11">
        <f t="shared" si="11"/>
        <v>42</v>
      </c>
      <c r="AO9" s="224">
        <f t="shared" si="12"/>
        <v>113.51351351351352</v>
      </c>
    </row>
    <row r="10" spans="1:45" s="10" customFormat="1" ht="20.100000000000001" customHeight="1" x14ac:dyDescent="0.3">
      <c r="A10" s="26" t="s">
        <v>148</v>
      </c>
      <c r="B10" s="70">
        <v>20</v>
      </c>
      <c r="C10" s="163"/>
      <c r="D10" s="164"/>
      <c r="E10" s="164"/>
      <c r="F10" s="164"/>
      <c r="G10" s="164">
        <v>22</v>
      </c>
      <c r="H10" s="164"/>
      <c r="I10" s="164">
        <v>40</v>
      </c>
      <c r="J10" s="164">
        <v>27</v>
      </c>
      <c r="K10" s="164">
        <v>21</v>
      </c>
      <c r="L10" s="164">
        <v>20</v>
      </c>
      <c r="M10" s="164">
        <v>16</v>
      </c>
      <c r="N10" s="164"/>
      <c r="O10" s="165"/>
      <c r="P10" s="13">
        <f t="shared" si="2"/>
        <v>146</v>
      </c>
      <c r="Q10" s="11">
        <f t="shared" si="3"/>
        <v>6</v>
      </c>
      <c r="R10" s="11">
        <f t="shared" si="4"/>
        <v>24.333333333333332</v>
      </c>
      <c r="S10" s="12">
        <f t="shared" si="5"/>
        <v>121.66666666666666</v>
      </c>
      <c r="T10" s="70">
        <v>20</v>
      </c>
      <c r="U10" s="163">
        <v>15</v>
      </c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15</v>
      </c>
      <c r="AI10" s="11">
        <f t="shared" si="7"/>
        <v>1</v>
      </c>
      <c r="AJ10" s="12">
        <f t="shared" si="8"/>
        <v>15</v>
      </c>
      <c r="AK10" s="77"/>
      <c r="AL10" s="124">
        <f t="shared" si="9"/>
        <v>161</v>
      </c>
      <c r="AM10" s="95">
        <f t="shared" si="10"/>
        <v>7</v>
      </c>
      <c r="AN10" s="11">
        <f t="shared" si="11"/>
        <v>23</v>
      </c>
      <c r="AO10" s="12">
        <f t="shared" si="12"/>
        <v>114.99999999999999</v>
      </c>
    </row>
    <row r="11" spans="1:45" s="10" customFormat="1" ht="20.100000000000001" customHeight="1" x14ac:dyDescent="0.3">
      <c r="A11" s="26" t="s">
        <v>149</v>
      </c>
      <c r="B11" s="70">
        <v>22</v>
      </c>
      <c r="C11" s="163"/>
      <c r="D11" s="164">
        <v>30</v>
      </c>
      <c r="E11" s="164">
        <v>23</v>
      </c>
      <c r="F11" s="164"/>
      <c r="G11" s="164"/>
      <c r="H11" s="164">
        <v>28</v>
      </c>
      <c r="I11" s="164">
        <v>26</v>
      </c>
      <c r="J11" s="164">
        <v>26</v>
      </c>
      <c r="K11" s="164">
        <v>31</v>
      </c>
      <c r="L11" s="164"/>
      <c r="M11" s="164"/>
      <c r="N11" s="164"/>
      <c r="O11" s="165"/>
      <c r="P11" s="13">
        <f t="shared" si="2"/>
        <v>164</v>
      </c>
      <c r="Q11" s="11">
        <f t="shared" si="3"/>
        <v>6</v>
      </c>
      <c r="R11" s="11">
        <f t="shared" si="4"/>
        <v>27.333333333333332</v>
      </c>
      <c r="S11" s="12">
        <f t="shared" si="5"/>
        <v>124.24242424242425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6</v>
      </c>
      <c r="AN11" s="11">
        <f t="shared" si="11"/>
        <v>27.333333333333332</v>
      </c>
      <c r="AO11" s="12">
        <f t="shared" si="12"/>
        <v>124.24242424242425</v>
      </c>
    </row>
    <row r="12" spans="1:45" s="10" customFormat="1" ht="20.100000000000001" customHeight="1" x14ac:dyDescent="0.3">
      <c r="A12" s="69" t="s">
        <v>150</v>
      </c>
      <c r="B12" s="70">
        <v>64</v>
      </c>
      <c r="C12" s="163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5" s="10" customFormat="1" ht="20.100000000000001" customHeight="1" x14ac:dyDescent="0.3">
      <c r="A13" s="26" t="s">
        <v>151</v>
      </c>
      <c r="B13" s="70">
        <v>24</v>
      </c>
      <c r="C13" s="163">
        <v>35</v>
      </c>
      <c r="D13" s="164"/>
      <c r="E13" s="164">
        <v>30</v>
      </c>
      <c r="F13" s="164">
        <v>19</v>
      </c>
      <c r="G13" s="164"/>
      <c r="H13" s="164">
        <v>28</v>
      </c>
      <c r="I13" s="164"/>
      <c r="J13" s="164">
        <v>18</v>
      </c>
      <c r="K13" s="164"/>
      <c r="L13" s="164"/>
      <c r="M13" s="164">
        <v>27</v>
      </c>
      <c r="N13" s="164">
        <v>38</v>
      </c>
      <c r="O13" s="165">
        <v>16</v>
      </c>
      <c r="P13" s="13">
        <f t="shared" si="2"/>
        <v>211</v>
      </c>
      <c r="Q13" s="11">
        <f t="shared" si="3"/>
        <v>8</v>
      </c>
      <c r="R13" s="11">
        <f t="shared" si="4"/>
        <v>26.375</v>
      </c>
      <c r="S13" s="12">
        <f t="shared" si="5"/>
        <v>109.89583333333333</v>
      </c>
      <c r="T13" s="70">
        <v>24</v>
      </c>
      <c r="U13" s="163">
        <v>19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19</v>
      </c>
      <c r="AI13" s="11">
        <f t="shared" si="7"/>
        <v>1</v>
      </c>
      <c r="AJ13" s="12">
        <f t="shared" si="8"/>
        <v>19</v>
      </c>
      <c r="AK13" s="77"/>
      <c r="AL13" s="124">
        <f t="shared" si="9"/>
        <v>230</v>
      </c>
      <c r="AM13" s="95">
        <f t="shared" si="10"/>
        <v>9</v>
      </c>
      <c r="AN13" s="11">
        <f t="shared" si="11"/>
        <v>25.555555555555557</v>
      </c>
      <c r="AO13" s="12">
        <f t="shared" si="12"/>
        <v>106.4814814814815</v>
      </c>
    </row>
    <row r="14" spans="1:45" s="10" customFormat="1" ht="20.100000000000001" customHeight="1" x14ac:dyDescent="0.3">
      <c r="A14" s="26" t="s">
        <v>152</v>
      </c>
      <c r="B14" s="70">
        <v>22</v>
      </c>
      <c r="C14" s="163"/>
      <c r="D14" s="164"/>
      <c r="E14" s="164"/>
      <c r="F14" s="164"/>
      <c r="G14" s="164"/>
      <c r="H14" s="164"/>
      <c r="I14" s="164">
        <v>32</v>
      </c>
      <c r="J14" s="164">
        <v>16</v>
      </c>
      <c r="K14" s="164"/>
      <c r="L14" s="164"/>
      <c r="M14" s="164">
        <v>24</v>
      </c>
      <c r="N14" s="164">
        <v>19</v>
      </c>
      <c r="O14" s="165">
        <v>22</v>
      </c>
      <c r="P14" s="13">
        <f t="shared" si="2"/>
        <v>113</v>
      </c>
      <c r="Q14" s="11">
        <f t="shared" si="3"/>
        <v>5</v>
      </c>
      <c r="R14" s="11">
        <f t="shared" si="4"/>
        <v>22.6</v>
      </c>
      <c r="S14" s="12">
        <f t="shared" si="5"/>
        <v>102.72727272727273</v>
      </c>
      <c r="T14" s="70">
        <v>22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113</v>
      </c>
      <c r="AM14" s="95">
        <f t="shared" si="10"/>
        <v>5</v>
      </c>
      <c r="AN14" s="11">
        <f t="shared" si="11"/>
        <v>22.6</v>
      </c>
      <c r="AO14" s="12">
        <f t="shared" si="12"/>
        <v>102.72727272727273</v>
      </c>
    </row>
    <row r="15" spans="1:45" s="10" customFormat="1" ht="20.100000000000001" customHeight="1" x14ac:dyDescent="0.3">
      <c r="A15" s="26" t="s">
        <v>312</v>
      </c>
      <c r="B15" s="70">
        <v>23</v>
      </c>
      <c r="C15" s="163">
        <v>17</v>
      </c>
      <c r="D15" s="164"/>
      <c r="E15" s="164">
        <v>22</v>
      </c>
      <c r="F15" s="164">
        <v>20</v>
      </c>
      <c r="G15" s="164">
        <v>32</v>
      </c>
      <c r="H15" s="164"/>
      <c r="I15" s="164"/>
      <c r="J15" s="164"/>
      <c r="K15" s="164">
        <v>24</v>
      </c>
      <c r="L15" s="164"/>
      <c r="M15" s="164"/>
      <c r="N15" s="164">
        <v>20</v>
      </c>
      <c r="O15" s="165">
        <v>25</v>
      </c>
      <c r="P15" s="13">
        <f t="shared" si="2"/>
        <v>160</v>
      </c>
      <c r="Q15" s="11">
        <f t="shared" si="3"/>
        <v>7</v>
      </c>
      <c r="R15" s="11">
        <f t="shared" si="4"/>
        <v>22.857142857142858</v>
      </c>
      <c r="S15" s="12">
        <f t="shared" si="5"/>
        <v>99.378881987577643</v>
      </c>
      <c r="T15" s="70">
        <v>23</v>
      </c>
      <c r="U15" s="163">
        <v>14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14</v>
      </c>
      <c r="AI15" s="11">
        <f t="shared" si="7"/>
        <v>1</v>
      </c>
      <c r="AJ15" s="12">
        <f t="shared" si="8"/>
        <v>14</v>
      </c>
      <c r="AK15" s="77"/>
      <c r="AL15" s="124">
        <f t="shared" si="9"/>
        <v>174</v>
      </c>
      <c r="AM15" s="95">
        <f t="shared" si="10"/>
        <v>8</v>
      </c>
      <c r="AN15" s="11">
        <f t="shared" si="11"/>
        <v>21.75</v>
      </c>
      <c r="AO15" s="12">
        <f t="shared" si="12"/>
        <v>94.565217391304344</v>
      </c>
    </row>
    <row r="16" spans="1:45" s="10" customFormat="1" ht="20.100000000000001" customHeight="1" x14ac:dyDescent="0.3">
      <c r="A16" s="26" t="s">
        <v>374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280">
        <v>20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59">
        <f>COUNT(B2:B18)</f>
        <v>15</v>
      </c>
      <c r="B19" s="180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180</v>
      </c>
      <c r="K19" s="19">
        <f t="shared" si="14"/>
        <v>191</v>
      </c>
      <c r="L19" s="19">
        <f t="shared" si="14"/>
        <v>224</v>
      </c>
      <c r="M19" s="19">
        <f t="shared" si="14"/>
        <v>200</v>
      </c>
      <c r="N19" s="19">
        <f t="shared" si="14"/>
        <v>186</v>
      </c>
      <c r="O19" s="19">
        <f t="shared" si="14"/>
        <v>140</v>
      </c>
      <c r="P19" s="19">
        <f t="shared" si="14"/>
        <v>2620</v>
      </c>
      <c r="Q19" s="19">
        <f t="shared" si="14"/>
        <v>78</v>
      </c>
      <c r="R19" s="19">
        <f>P19/Q19</f>
        <v>33.589743589743591</v>
      </c>
      <c r="S19" s="22"/>
      <c r="T19" s="179">
        <f>SUM(T4:T18)</f>
        <v>435</v>
      </c>
      <c r="U19" s="21">
        <f>SUM(U4:U15)</f>
        <v>120</v>
      </c>
      <c r="V19" s="19">
        <f>SUM(V4:V15)</f>
        <v>0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120</v>
      </c>
      <c r="AI19" s="18">
        <f>SUM(AI4:AI15)</f>
        <v>6</v>
      </c>
      <c r="AJ19" s="23">
        <f>AH19/AI19</f>
        <v>20</v>
      </c>
      <c r="AK19" s="78"/>
      <c r="AL19" s="24">
        <f>SUM(AL4:AL15)</f>
        <v>2740</v>
      </c>
      <c r="AM19" s="18">
        <f>SUM(AM4:AM15)</f>
        <v>84</v>
      </c>
      <c r="AN19" s="18">
        <f t="shared" ref="AN19" si="17">AL19/AM19</f>
        <v>32.61904761904762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34" priority="8" operator="equal">
      <formula>0</formula>
    </cfRule>
  </conditionalFormatting>
  <conditionalFormatting sqref="A19 C19:S19 U19:AO19">
    <cfRule type="containsErrors" dxfId="33" priority="10">
      <formula>ISERROR(A19)</formula>
    </cfRule>
  </conditionalFormatting>
  <conditionalFormatting sqref="B4:B19">
    <cfRule type="cellIs" dxfId="32" priority="7" operator="equal">
      <formula>0</formula>
    </cfRule>
  </conditionalFormatting>
  <conditionalFormatting sqref="P4:S18 C19:S19">
    <cfRule type="cellIs" dxfId="31" priority="3" operator="equal">
      <formula>0</formula>
    </cfRule>
  </conditionalFormatting>
  <conditionalFormatting sqref="T4:T19">
    <cfRule type="cellIs" dxfId="30" priority="1" operator="equal">
      <formula>0</formula>
    </cfRule>
  </conditionalFormatting>
  <conditionalFormatting sqref="AH4:AO18 U19:AO19">
    <cfRule type="cellIs" dxfId="29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zoomScale="115" zoomScaleNormal="115" workbookViewId="0">
      <selection activeCell="U6" sqref="U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73"/>
      <c r="AL1" s="305" t="s">
        <v>41</v>
      </c>
      <c r="AM1" s="305"/>
      <c r="AN1" s="305"/>
      <c r="AO1" s="306"/>
    </row>
    <row r="2" spans="1:41" ht="121.5" customHeight="1" thickBot="1" x14ac:dyDescent="0.35">
      <c r="A2" s="307" t="s">
        <v>30</v>
      </c>
      <c r="B2" s="309" t="s">
        <v>42</v>
      </c>
      <c r="C2" s="311" t="s">
        <v>153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77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08"/>
      <c r="B3" s="310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2"/>
      <c r="AI3" s="298"/>
      <c r="AJ3" s="300"/>
      <c r="AK3" s="76"/>
      <c r="AL3" s="302"/>
      <c r="AM3" s="298"/>
      <c r="AN3" s="298"/>
      <c r="AO3" s="300"/>
    </row>
    <row r="4" spans="1:41" s="10" customFormat="1" ht="20.100000000000001" customHeight="1" x14ac:dyDescent="0.3">
      <c r="A4" s="177" t="s">
        <v>154</v>
      </c>
      <c r="B4" s="137">
        <v>19</v>
      </c>
      <c r="C4" s="160">
        <v>31</v>
      </c>
      <c r="D4" s="161"/>
      <c r="E4" s="161"/>
      <c r="F4" s="161">
        <v>15</v>
      </c>
      <c r="G4" s="161">
        <v>16</v>
      </c>
      <c r="H4" s="161"/>
      <c r="I4" s="161">
        <v>22</v>
      </c>
      <c r="J4" s="161">
        <v>24</v>
      </c>
      <c r="K4" s="161">
        <v>22</v>
      </c>
      <c r="L4" s="161">
        <v>13</v>
      </c>
      <c r="M4" s="161">
        <v>19</v>
      </c>
      <c r="N4" s="161">
        <v>18</v>
      </c>
      <c r="O4" s="162"/>
      <c r="P4" s="9">
        <f>SUM(C4:O4)</f>
        <v>180</v>
      </c>
      <c r="Q4" s="8">
        <f>COUNTIF(C4:O4,"&gt;0")</f>
        <v>9</v>
      </c>
      <c r="R4" s="8">
        <f>IF(P4=0," ",P4/Q4)</f>
        <v>20</v>
      </c>
      <c r="S4" s="94">
        <f t="shared" ref="S4" si="0">IF(P4=0," ",P4/(Q4*T4)*100)</f>
        <v>105.26315789473684</v>
      </c>
      <c r="T4" s="70">
        <v>19</v>
      </c>
      <c r="U4" s="160">
        <v>21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21</v>
      </c>
      <c r="AI4" s="8">
        <f>COUNTIF(U4:AG4,"&gt;0")</f>
        <v>1</v>
      </c>
      <c r="AJ4" s="94">
        <f>IF(AH4=0," ",AH4/AI4)</f>
        <v>21</v>
      </c>
      <c r="AK4" s="77"/>
      <c r="AL4" s="122">
        <f t="shared" ref="AL4" si="1">P4+AH4</f>
        <v>201</v>
      </c>
      <c r="AM4" s="123">
        <f t="shared" ref="AM4" si="2">Q4+AI4</f>
        <v>10</v>
      </c>
      <c r="AN4" s="8">
        <f>IF(AL4=0," ",AL4/AM4)</f>
        <v>20.100000000000001</v>
      </c>
      <c r="AO4" s="94">
        <f>IF(AL4=0," ",AL4/(AM4*T4)*100)</f>
        <v>105.78947368421052</v>
      </c>
    </row>
    <row r="5" spans="1:41" s="10" customFormat="1" ht="20.100000000000001" customHeight="1" x14ac:dyDescent="0.3">
      <c r="A5" s="26" t="s">
        <v>313</v>
      </c>
      <c r="B5" s="70">
        <v>18</v>
      </c>
      <c r="C5" s="163">
        <v>22</v>
      </c>
      <c r="D5" s="164"/>
      <c r="E5" s="164">
        <v>14</v>
      </c>
      <c r="F5" s="164">
        <v>9</v>
      </c>
      <c r="G5" s="164">
        <v>11</v>
      </c>
      <c r="H5" s="164">
        <v>16</v>
      </c>
      <c r="I5" s="164">
        <v>9</v>
      </c>
      <c r="J5" s="164">
        <v>12</v>
      </c>
      <c r="K5" s="164"/>
      <c r="L5" s="164">
        <v>15</v>
      </c>
      <c r="M5" s="164">
        <v>24</v>
      </c>
      <c r="N5" s="164">
        <v>12</v>
      </c>
      <c r="O5" s="165"/>
      <c r="P5" s="13">
        <f t="shared" ref="P5:P18" si="3">SUM(C5:O5)</f>
        <v>144</v>
      </c>
      <c r="Q5" s="11">
        <f t="shared" ref="Q5:Q18" si="4">COUNTIF(C5:O5,"&gt;0")</f>
        <v>10</v>
      </c>
      <c r="R5" s="11">
        <f t="shared" ref="R5:R18" si="5">IF(P5=0," ",P5/Q5)</f>
        <v>14.4</v>
      </c>
      <c r="S5" s="12">
        <f t="shared" ref="S5:S18" si="6">IF(P5=0," ",P5/(Q5*T5)*100)</f>
        <v>80</v>
      </c>
      <c r="T5" s="70">
        <v>18</v>
      </c>
      <c r="U5" s="163">
        <v>25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25</v>
      </c>
      <c r="AI5" s="11">
        <f t="shared" ref="AI5:AI18" si="8">COUNTIF(U5:AG5,"&gt;0")</f>
        <v>1</v>
      </c>
      <c r="AJ5" s="12">
        <f t="shared" ref="AJ5:AJ18" si="9">IF(AH5=0," ",AH5/AI5)</f>
        <v>25</v>
      </c>
      <c r="AK5" s="77"/>
      <c r="AL5" s="124">
        <f t="shared" ref="AL5:AL18" si="10">P5+AH5</f>
        <v>169</v>
      </c>
      <c r="AM5" s="95">
        <f t="shared" ref="AM5:AM18" si="11">Q5+AI5</f>
        <v>11</v>
      </c>
      <c r="AN5" s="11">
        <f t="shared" ref="AN5:AN18" si="12">IF(AL5=0," ",AL5/AM5)</f>
        <v>15.363636363636363</v>
      </c>
      <c r="AO5" s="12">
        <f t="shared" ref="AO5:AO18" si="13">IF(AL5=0," ",AL5/(AM5*T5)*100)</f>
        <v>85.353535353535349</v>
      </c>
    </row>
    <row r="6" spans="1:41" s="10" customFormat="1" ht="20.100000000000001" customHeight="1" x14ac:dyDescent="0.3">
      <c r="A6" s="69" t="s">
        <v>362</v>
      </c>
      <c r="B6" s="70">
        <v>68</v>
      </c>
      <c r="C6" s="163">
        <v>73</v>
      </c>
      <c r="D6" s="164">
        <v>48</v>
      </c>
      <c r="E6" s="164">
        <v>66</v>
      </c>
      <c r="F6" s="164">
        <v>42</v>
      </c>
      <c r="G6" s="164"/>
      <c r="H6" s="164"/>
      <c r="I6" s="164"/>
      <c r="J6" s="164">
        <v>53</v>
      </c>
      <c r="K6" s="164">
        <v>50</v>
      </c>
      <c r="L6" s="164"/>
      <c r="M6" s="164"/>
      <c r="N6" s="164"/>
      <c r="O6" s="165"/>
      <c r="P6" s="13">
        <f t="shared" si="3"/>
        <v>332</v>
      </c>
      <c r="Q6" s="11">
        <f t="shared" si="4"/>
        <v>6</v>
      </c>
      <c r="R6" s="11">
        <f t="shared" si="5"/>
        <v>55.333333333333336</v>
      </c>
      <c r="S6" s="12">
        <f t="shared" si="6"/>
        <v>81.372549019607845</v>
      </c>
      <c r="T6" s="70">
        <v>68</v>
      </c>
      <c r="U6" s="163">
        <v>80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80</v>
      </c>
      <c r="AI6" s="11">
        <f t="shared" si="8"/>
        <v>1</v>
      </c>
      <c r="AJ6" s="12">
        <f t="shared" si="9"/>
        <v>80</v>
      </c>
      <c r="AK6" s="77"/>
      <c r="AL6" s="124">
        <f t="shared" si="10"/>
        <v>412</v>
      </c>
      <c r="AM6" s="95">
        <f t="shared" si="11"/>
        <v>7</v>
      </c>
      <c r="AN6" s="11">
        <f t="shared" si="12"/>
        <v>58.857142857142854</v>
      </c>
      <c r="AO6" s="12">
        <f t="shared" si="13"/>
        <v>86.554621848739501</v>
      </c>
    </row>
    <row r="7" spans="1:41" s="10" customFormat="1" ht="20.100000000000001" customHeight="1" x14ac:dyDescent="0.3">
      <c r="A7" s="26" t="s">
        <v>155</v>
      </c>
      <c r="B7" s="70">
        <v>24</v>
      </c>
      <c r="C7" s="163">
        <v>35</v>
      </c>
      <c r="D7" s="164">
        <v>28</v>
      </c>
      <c r="E7" s="164"/>
      <c r="F7" s="164"/>
      <c r="G7" s="164"/>
      <c r="H7" s="164">
        <v>21</v>
      </c>
      <c r="I7" s="164">
        <v>35</v>
      </c>
      <c r="J7" s="164"/>
      <c r="K7" s="164"/>
      <c r="L7" s="164"/>
      <c r="M7" s="164">
        <v>19</v>
      </c>
      <c r="N7" s="164">
        <v>27</v>
      </c>
      <c r="O7" s="165">
        <v>20</v>
      </c>
      <c r="P7" s="13">
        <f t="shared" si="3"/>
        <v>185</v>
      </c>
      <c r="Q7" s="11">
        <f t="shared" si="4"/>
        <v>7</v>
      </c>
      <c r="R7" s="11">
        <f t="shared" si="5"/>
        <v>26.428571428571427</v>
      </c>
      <c r="S7" s="12">
        <f t="shared" si="6"/>
        <v>110.11904761904762</v>
      </c>
      <c r="T7" s="70">
        <v>24</v>
      </c>
      <c r="U7" s="163">
        <v>20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20</v>
      </c>
      <c r="AI7" s="11">
        <f t="shared" si="8"/>
        <v>1</v>
      </c>
      <c r="AJ7" s="12">
        <f t="shared" si="9"/>
        <v>20</v>
      </c>
      <c r="AK7" s="77"/>
      <c r="AL7" s="124">
        <f t="shared" si="10"/>
        <v>205</v>
      </c>
      <c r="AM7" s="95">
        <f t="shared" si="11"/>
        <v>8</v>
      </c>
      <c r="AN7" s="11">
        <f t="shared" si="12"/>
        <v>25.625</v>
      </c>
      <c r="AO7" s="12">
        <f t="shared" si="13"/>
        <v>106.77083333333333</v>
      </c>
    </row>
    <row r="8" spans="1:41" s="10" customFormat="1" ht="20.100000000000001" customHeight="1" x14ac:dyDescent="0.3">
      <c r="A8" s="26" t="s">
        <v>314</v>
      </c>
      <c r="B8" s="70">
        <v>33</v>
      </c>
      <c r="C8" s="163"/>
      <c r="D8" s="164">
        <v>30</v>
      </c>
      <c r="E8" s="164">
        <v>27</v>
      </c>
      <c r="F8" s="164"/>
      <c r="G8" s="164">
        <v>40</v>
      </c>
      <c r="H8" s="164">
        <v>30</v>
      </c>
      <c r="I8" s="164"/>
      <c r="J8" s="164"/>
      <c r="K8" s="164">
        <v>25</v>
      </c>
      <c r="L8" s="164">
        <v>21</v>
      </c>
      <c r="M8" s="164"/>
      <c r="N8" s="164"/>
      <c r="O8" s="165">
        <v>36</v>
      </c>
      <c r="P8" s="13">
        <f t="shared" si="3"/>
        <v>209</v>
      </c>
      <c r="Q8" s="11">
        <f t="shared" si="4"/>
        <v>7</v>
      </c>
      <c r="R8" s="11">
        <f t="shared" si="5"/>
        <v>29.857142857142858</v>
      </c>
      <c r="S8" s="12">
        <f t="shared" si="6"/>
        <v>90.476190476190482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209</v>
      </c>
      <c r="AM8" s="95">
        <f t="shared" si="11"/>
        <v>7</v>
      </c>
      <c r="AN8" s="11">
        <f t="shared" si="12"/>
        <v>29.857142857142858</v>
      </c>
      <c r="AO8" s="12">
        <f t="shared" si="13"/>
        <v>90.476190476190482</v>
      </c>
    </row>
    <row r="9" spans="1:41" s="10" customFormat="1" ht="20.100000000000001" customHeight="1" x14ac:dyDescent="0.3">
      <c r="A9" s="26" t="s">
        <v>156</v>
      </c>
      <c r="B9" s="70">
        <v>21</v>
      </c>
      <c r="C9" s="163">
        <v>30</v>
      </c>
      <c r="D9" s="164"/>
      <c r="E9" s="164">
        <v>20</v>
      </c>
      <c r="F9" s="164"/>
      <c r="G9" s="164">
        <v>19</v>
      </c>
      <c r="H9" s="164"/>
      <c r="I9" s="164">
        <v>19</v>
      </c>
      <c r="J9" s="164">
        <v>29</v>
      </c>
      <c r="K9" s="164"/>
      <c r="L9" s="164">
        <v>16</v>
      </c>
      <c r="M9" s="164">
        <v>16</v>
      </c>
      <c r="N9" s="164">
        <v>15</v>
      </c>
      <c r="O9" s="165">
        <v>26</v>
      </c>
      <c r="P9" s="13">
        <f t="shared" si="3"/>
        <v>190</v>
      </c>
      <c r="Q9" s="11">
        <f t="shared" si="4"/>
        <v>9</v>
      </c>
      <c r="R9" s="11">
        <f t="shared" si="5"/>
        <v>21.111111111111111</v>
      </c>
      <c r="S9" s="12">
        <f t="shared" si="6"/>
        <v>100.52910052910053</v>
      </c>
      <c r="T9" s="70">
        <v>21</v>
      </c>
      <c r="U9" s="163">
        <v>16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16</v>
      </c>
      <c r="AI9" s="11">
        <f t="shared" si="8"/>
        <v>1</v>
      </c>
      <c r="AJ9" s="12">
        <f t="shared" si="9"/>
        <v>16</v>
      </c>
      <c r="AK9" s="77"/>
      <c r="AL9" s="124">
        <f t="shared" si="10"/>
        <v>206</v>
      </c>
      <c r="AM9" s="95">
        <f t="shared" si="11"/>
        <v>10</v>
      </c>
      <c r="AN9" s="11">
        <f t="shared" si="12"/>
        <v>20.6</v>
      </c>
      <c r="AO9" s="12">
        <f t="shared" si="13"/>
        <v>98.095238095238088</v>
      </c>
    </row>
    <row r="10" spans="1:41" s="10" customFormat="1" ht="20.100000000000001" customHeight="1" x14ac:dyDescent="0.3">
      <c r="A10" s="26" t="s">
        <v>157</v>
      </c>
      <c r="B10" s="70">
        <v>23</v>
      </c>
      <c r="C10" s="163">
        <v>35</v>
      </c>
      <c r="D10" s="164">
        <v>31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158</v>
      </c>
      <c r="B11" s="70">
        <v>27</v>
      </c>
      <c r="C11" s="163"/>
      <c r="D11" s="164">
        <v>15</v>
      </c>
      <c r="E11" s="164">
        <v>13</v>
      </c>
      <c r="F11" s="164">
        <v>22</v>
      </c>
      <c r="G11" s="164">
        <v>28</v>
      </c>
      <c r="H11" s="164">
        <v>23</v>
      </c>
      <c r="I11" s="164"/>
      <c r="J11" s="164"/>
      <c r="K11" s="164">
        <v>25</v>
      </c>
      <c r="L11" s="164"/>
      <c r="M11" s="164">
        <v>13</v>
      </c>
      <c r="N11" s="164"/>
      <c r="O11" s="165">
        <v>22</v>
      </c>
      <c r="P11" s="13">
        <f t="shared" si="3"/>
        <v>161</v>
      </c>
      <c r="Q11" s="11">
        <f t="shared" si="4"/>
        <v>8</v>
      </c>
      <c r="R11" s="11">
        <f t="shared" si="5"/>
        <v>20.125</v>
      </c>
      <c r="S11" s="12">
        <f t="shared" si="6"/>
        <v>74.537037037037038</v>
      </c>
      <c r="T11" s="70">
        <v>27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161</v>
      </c>
      <c r="AM11" s="95">
        <f t="shared" si="11"/>
        <v>8</v>
      </c>
      <c r="AN11" s="11">
        <f t="shared" si="12"/>
        <v>20.125</v>
      </c>
      <c r="AO11" s="12">
        <f t="shared" si="13"/>
        <v>74.537037037037038</v>
      </c>
    </row>
    <row r="12" spans="1:41" s="10" customFormat="1" ht="20.100000000000001" customHeight="1" x14ac:dyDescent="0.3">
      <c r="A12" s="26" t="s">
        <v>159</v>
      </c>
      <c r="B12" s="70">
        <v>34</v>
      </c>
      <c r="C12" s="163"/>
      <c r="D12" s="164"/>
      <c r="E12" s="164">
        <v>46</v>
      </c>
      <c r="F12" s="164">
        <v>27</v>
      </c>
      <c r="G12" s="164">
        <v>25</v>
      </c>
      <c r="H12" s="164">
        <v>25</v>
      </c>
      <c r="I12" s="164">
        <v>53</v>
      </c>
      <c r="J12" s="164">
        <v>23</v>
      </c>
      <c r="K12" s="164">
        <v>39</v>
      </c>
      <c r="L12" s="164">
        <v>22</v>
      </c>
      <c r="M12" s="164">
        <v>14</v>
      </c>
      <c r="N12" s="164">
        <v>33</v>
      </c>
      <c r="O12" s="165">
        <v>22</v>
      </c>
      <c r="P12" s="13">
        <f t="shared" si="3"/>
        <v>329</v>
      </c>
      <c r="Q12" s="11">
        <f t="shared" si="4"/>
        <v>11</v>
      </c>
      <c r="R12" s="11">
        <f t="shared" si="5"/>
        <v>29.90909090909091</v>
      </c>
      <c r="S12" s="12">
        <f t="shared" si="6"/>
        <v>87.967914438502675</v>
      </c>
      <c r="T12" s="70">
        <v>34</v>
      </c>
      <c r="U12" s="163">
        <v>40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40</v>
      </c>
      <c r="AI12" s="11">
        <f t="shared" si="8"/>
        <v>1</v>
      </c>
      <c r="AJ12" s="12">
        <f t="shared" si="9"/>
        <v>40</v>
      </c>
      <c r="AK12" s="77"/>
      <c r="AL12" s="124">
        <f t="shared" si="10"/>
        <v>369</v>
      </c>
      <c r="AM12" s="95">
        <f t="shared" si="11"/>
        <v>12</v>
      </c>
      <c r="AN12" s="11">
        <f t="shared" si="12"/>
        <v>30.75</v>
      </c>
      <c r="AO12" s="12">
        <f t="shared" si="13"/>
        <v>90.441176470588232</v>
      </c>
    </row>
    <row r="13" spans="1:41" s="10" customFormat="1" ht="20.100000000000001" customHeight="1" x14ac:dyDescent="0.3">
      <c r="A13" s="26" t="s">
        <v>160</v>
      </c>
      <c r="B13" s="70">
        <v>35</v>
      </c>
      <c r="C13" s="163"/>
      <c r="D13" s="164">
        <v>26</v>
      </c>
      <c r="E13" s="164"/>
      <c r="F13" s="164">
        <v>25</v>
      </c>
      <c r="G13" s="164"/>
      <c r="H13" s="164">
        <v>24</v>
      </c>
      <c r="I13" s="164">
        <v>31</v>
      </c>
      <c r="J13" s="164">
        <v>31</v>
      </c>
      <c r="K13" s="164">
        <v>40</v>
      </c>
      <c r="L13" s="164">
        <v>21</v>
      </c>
      <c r="M13" s="164"/>
      <c r="N13" s="164">
        <v>32</v>
      </c>
      <c r="O13" s="165">
        <v>24</v>
      </c>
      <c r="P13" s="13">
        <f t="shared" si="3"/>
        <v>254</v>
      </c>
      <c r="Q13" s="11">
        <f t="shared" si="4"/>
        <v>9</v>
      </c>
      <c r="R13" s="11">
        <f t="shared" si="5"/>
        <v>28.222222222222221</v>
      </c>
      <c r="S13" s="12">
        <f t="shared" si="6"/>
        <v>80.634920634920633</v>
      </c>
      <c r="T13" s="70">
        <v>35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254</v>
      </c>
      <c r="AM13" s="95">
        <f t="shared" si="11"/>
        <v>9</v>
      </c>
      <c r="AN13" s="11">
        <f t="shared" si="12"/>
        <v>28.222222222222221</v>
      </c>
      <c r="AO13" s="12">
        <f t="shared" si="13"/>
        <v>80.634920634920633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COUNT(B4:B18)</f>
        <v>15</v>
      </c>
      <c r="B19" s="180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172</v>
      </c>
      <c r="K19" s="19">
        <f t="shared" si="16"/>
        <v>201</v>
      </c>
      <c r="L19" s="19">
        <f t="shared" si="16"/>
        <v>108</v>
      </c>
      <c r="M19" s="19">
        <f t="shared" si="16"/>
        <v>105</v>
      </c>
      <c r="N19" s="19">
        <f t="shared" si="16"/>
        <v>137</v>
      </c>
      <c r="O19" s="19">
        <f>SUM(O4:O18)</f>
        <v>150</v>
      </c>
      <c r="P19" s="19">
        <f>SUM(P4:P18)</f>
        <v>2050</v>
      </c>
      <c r="Q19" s="19">
        <f>SUM(Q4:Q18)</f>
        <v>78</v>
      </c>
      <c r="R19" s="19">
        <f>SUM(R4:R18)</f>
        <v>278.38647186147188</v>
      </c>
      <c r="S19" s="22"/>
      <c r="T19" s="179">
        <f>SUM(T4:T18)</f>
        <v>302</v>
      </c>
      <c r="U19" s="21">
        <f>SUM(U4:U18)</f>
        <v>202</v>
      </c>
      <c r="V19" s="19">
        <f>SUM(V4:V18)</f>
        <v>0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202</v>
      </c>
      <c r="AI19" s="18">
        <f>SUM(AI4:AI18)</f>
        <v>6</v>
      </c>
      <c r="AJ19" s="23">
        <f>AH19/AI19</f>
        <v>33.666666666666664</v>
      </c>
      <c r="AK19" s="78"/>
      <c r="AL19" s="24">
        <f>SUM(AL4:AL18)</f>
        <v>2252</v>
      </c>
      <c r="AM19" s="18">
        <f>SUM(AM4:AM18)</f>
        <v>84</v>
      </c>
      <c r="AN19" s="18">
        <f t="shared" ref="AN19" si="18">AL19/AM19</f>
        <v>26.80952380952381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28" priority="7" operator="equal">
      <formula>0</formula>
    </cfRule>
  </conditionalFormatting>
  <conditionalFormatting sqref="A19 C19:S19 U19:AO19">
    <cfRule type="containsErrors" dxfId="27" priority="9">
      <formula>ISERROR(A19)</formula>
    </cfRule>
  </conditionalFormatting>
  <conditionalFormatting sqref="B4:B19">
    <cfRule type="cellIs" dxfId="26" priority="6" operator="equal">
      <formula>0</formula>
    </cfRule>
  </conditionalFormatting>
  <conditionalFormatting sqref="P4:S18 C19:S19">
    <cfRule type="cellIs" dxfId="25" priority="2" operator="equal">
      <formula>0</formula>
    </cfRule>
  </conditionalFormatting>
  <conditionalFormatting sqref="T4:T19">
    <cfRule type="cellIs" dxfId="24" priority="1" operator="equal">
      <formula>0</formula>
    </cfRule>
  </conditionalFormatting>
  <conditionalFormatting sqref="AH4:AO18 U19:AO19">
    <cfRule type="cellIs" dxfId="2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topLeftCell="A2" zoomScale="110" zoomScaleNormal="110" workbookViewId="0">
      <selection activeCell="U6" sqref="U6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73"/>
      <c r="AL1" s="305" t="s">
        <v>41</v>
      </c>
      <c r="AM1" s="305"/>
      <c r="AN1" s="305"/>
      <c r="AO1" s="306"/>
    </row>
    <row r="2" spans="1:41" ht="121.5" customHeight="1" thickBot="1" x14ac:dyDescent="0.35">
      <c r="A2" s="307" t="s">
        <v>31</v>
      </c>
      <c r="B2" s="309" t="s">
        <v>42</v>
      </c>
      <c r="C2" s="311" t="s">
        <v>43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161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08"/>
      <c r="B3" s="310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298"/>
      <c r="AI3" s="298"/>
      <c r="AJ3" s="300"/>
      <c r="AK3" s="76"/>
      <c r="AL3" s="302"/>
      <c r="AM3" s="298"/>
      <c r="AN3" s="298"/>
      <c r="AO3" s="300"/>
    </row>
    <row r="4" spans="1:41" s="10" customFormat="1" ht="20.100000000000001" customHeight="1" x14ac:dyDescent="0.3">
      <c r="A4" s="177" t="s">
        <v>297</v>
      </c>
      <c r="B4" s="137">
        <v>15</v>
      </c>
      <c r="C4" s="160"/>
      <c r="D4" s="161">
        <v>16</v>
      </c>
      <c r="E4" s="161"/>
      <c r="F4" s="161">
        <v>20</v>
      </c>
      <c r="G4" s="161"/>
      <c r="H4" s="161"/>
      <c r="I4" s="161"/>
      <c r="J4" s="161"/>
      <c r="K4" s="161">
        <v>18</v>
      </c>
      <c r="L4" s="161"/>
      <c r="M4" s="161"/>
      <c r="N4" s="161">
        <v>16</v>
      </c>
      <c r="O4" s="162">
        <v>11</v>
      </c>
      <c r="P4" s="9">
        <f>SUM(C4:O4)</f>
        <v>81</v>
      </c>
      <c r="Q4" s="8">
        <f>COUNTIF(C4:O4,"&gt;0")</f>
        <v>5</v>
      </c>
      <c r="R4" s="8">
        <f>IF(P4=0," ",P4/Q4)</f>
        <v>16.2</v>
      </c>
      <c r="S4" s="94">
        <f t="shared" ref="S4" si="0">IF(P4=0," ",P4/(Q4*T4)*100)</f>
        <v>108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>P4+AH4</f>
        <v>81</v>
      </c>
      <c r="AM4" s="123">
        <f>Q4+AI4</f>
        <v>5</v>
      </c>
      <c r="AN4" s="8">
        <f>IF(AL4=0," ",AL4/AM4)</f>
        <v>16.2</v>
      </c>
      <c r="AO4" s="94">
        <f>IF(AL4=0," ",AL4/(AM4*T4)*100)</f>
        <v>108</v>
      </c>
    </row>
    <row r="5" spans="1:41" s="10" customFormat="1" ht="20.100000000000001" customHeight="1" x14ac:dyDescent="0.3">
      <c r="A5" s="26" t="s">
        <v>298</v>
      </c>
      <c r="B5" s="70">
        <v>59</v>
      </c>
      <c r="C5" s="163"/>
      <c r="D5" s="164">
        <v>60</v>
      </c>
      <c r="E5" s="164"/>
      <c r="F5" s="164"/>
      <c r="G5" s="164">
        <v>58</v>
      </c>
      <c r="H5" s="164">
        <v>57</v>
      </c>
      <c r="I5" s="164"/>
      <c r="J5" s="164">
        <v>47</v>
      </c>
      <c r="K5" s="164">
        <v>48</v>
      </c>
      <c r="L5" s="164"/>
      <c r="M5" s="164">
        <v>57</v>
      </c>
      <c r="N5" s="164"/>
      <c r="O5" s="165">
        <v>61</v>
      </c>
      <c r="P5" s="13">
        <f t="shared" ref="P5:P18" si="1">SUM(C5:O5)</f>
        <v>388</v>
      </c>
      <c r="Q5" s="11">
        <f t="shared" ref="Q5:Q18" si="2">COUNTIF(C5:O5,"&gt;0")</f>
        <v>7</v>
      </c>
      <c r="R5" s="11">
        <f t="shared" ref="R5:R18" si="3">IF(P5=0," ",P5/Q5)</f>
        <v>55.428571428571431</v>
      </c>
      <c r="S5" s="12">
        <f t="shared" ref="S5:S18" si="4">IF(P5=0," ",P5/(Q5*T5)*100)</f>
        <v>93.946731234866832</v>
      </c>
      <c r="T5" s="70">
        <v>59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388</v>
      </c>
      <c r="AM5" s="95">
        <f t="shared" ref="AM5:AM18" si="9">Q5+AI5</f>
        <v>7</v>
      </c>
      <c r="AN5" s="11">
        <f t="shared" ref="AN5:AN18" si="10">IF(AL5=0," ",AL5/AM5)</f>
        <v>55.428571428571431</v>
      </c>
      <c r="AO5" s="12">
        <f t="shared" ref="AO5:AO18" si="11">IF(AL5=0," ",AL5/(AM5*T5)*100)</f>
        <v>93.946731234866832</v>
      </c>
    </row>
    <row r="6" spans="1:41" s="10" customFormat="1" ht="20.100000000000001" customHeight="1" x14ac:dyDescent="0.3">
      <c r="A6" s="26" t="s">
        <v>299</v>
      </c>
      <c r="B6" s="70">
        <v>25</v>
      </c>
      <c r="C6" s="163">
        <v>28</v>
      </c>
      <c r="D6" s="164"/>
      <c r="E6" s="164">
        <v>31</v>
      </c>
      <c r="F6" s="164">
        <v>40</v>
      </c>
      <c r="G6" s="164">
        <v>36</v>
      </c>
      <c r="H6" s="164">
        <v>20</v>
      </c>
      <c r="I6" s="164">
        <v>30</v>
      </c>
      <c r="J6" s="164"/>
      <c r="K6" s="164">
        <v>39</v>
      </c>
      <c r="L6" s="164"/>
      <c r="M6" s="164">
        <v>43</v>
      </c>
      <c r="N6" s="164">
        <v>30</v>
      </c>
      <c r="O6" s="165"/>
      <c r="P6" s="13">
        <f t="shared" si="1"/>
        <v>297</v>
      </c>
      <c r="Q6" s="11">
        <f t="shared" si="2"/>
        <v>9</v>
      </c>
      <c r="R6" s="11">
        <f t="shared" si="3"/>
        <v>33</v>
      </c>
      <c r="S6" s="12">
        <f t="shared" si="4"/>
        <v>132</v>
      </c>
      <c r="T6" s="70">
        <v>25</v>
      </c>
      <c r="U6" s="163">
        <v>30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30</v>
      </c>
      <c r="AI6" s="11">
        <f t="shared" si="6"/>
        <v>1</v>
      </c>
      <c r="AJ6" s="12">
        <f t="shared" si="7"/>
        <v>30</v>
      </c>
      <c r="AK6" s="77"/>
      <c r="AL6" s="124">
        <f t="shared" si="8"/>
        <v>327</v>
      </c>
      <c r="AM6" s="95">
        <f t="shared" si="9"/>
        <v>10</v>
      </c>
      <c r="AN6" s="11">
        <f t="shared" si="10"/>
        <v>32.700000000000003</v>
      </c>
      <c r="AO6" s="12">
        <f t="shared" si="11"/>
        <v>130.80000000000001</v>
      </c>
    </row>
    <row r="7" spans="1:41" s="10" customFormat="1" ht="20.100000000000001" customHeight="1" x14ac:dyDescent="0.3">
      <c r="A7" s="26" t="s">
        <v>300</v>
      </c>
      <c r="B7" s="70">
        <v>31</v>
      </c>
      <c r="C7" s="163">
        <v>31</v>
      </c>
      <c r="D7" s="164"/>
      <c r="E7" s="164">
        <v>43</v>
      </c>
      <c r="F7" s="164"/>
      <c r="G7" s="164">
        <v>40</v>
      </c>
      <c r="H7" s="164">
        <v>20</v>
      </c>
      <c r="I7" s="164">
        <v>31</v>
      </c>
      <c r="J7" s="164"/>
      <c r="K7" s="164">
        <v>40</v>
      </c>
      <c r="L7" s="164">
        <v>31</v>
      </c>
      <c r="M7" s="164"/>
      <c r="N7" s="164">
        <v>26</v>
      </c>
      <c r="O7" s="165"/>
      <c r="P7" s="13">
        <f t="shared" si="1"/>
        <v>262</v>
      </c>
      <c r="Q7" s="11">
        <f t="shared" si="2"/>
        <v>8</v>
      </c>
      <c r="R7" s="11">
        <f t="shared" si="3"/>
        <v>32.75</v>
      </c>
      <c r="S7" s="12">
        <f t="shared" si="4"/>
        <v>105.64516129032258</v>
      </c>
      <c r="T7" s="70">
        <v>31</v>
      </c>
      <c r="U7" s="163">
        <v>29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29</v>
      </c>
      <c r="AI7" s="11">
        <f t="shared" si="6"/>
        <v>1</v>
      </c>
      <c r="AJ7" s="12">
        <f t="shared" si="7"/>
        <v>29</v>
      </c>
      <c r="AK7" s="77"/>
      <c r="AL7" s="124">
        <f t="shared" si="8"/>
        <v>291</v>
      </c>
      <c r="AM7" s="95">
        <f t="shared" si="9"/>
        <v>9</v>
      </c>
      <c r="AN7" s="11">
        <f t="shared" si="10"/>
        <v>32.333333333333336</v>
      </c>
      <c r="AO7" s="12">
        <f t="shared" si="11"/>
        <v>104.3010752688172</v>
      </c>
    </row>
    <row r="8" spans="1:41" s="10" customFormat="1" ht="20.100000000000001" customHeight="1" x14ac:dyDescent="0.3">
      <c r="A8" s="69" t="s">
        <v>162</v>
      </c>
      <c r="B8" s="70">
        <v>40</v>
      </c>
      <c r="C8" s="163"/>
      <c r="D8" s="164">
        <v>32</v>
      </c>
      <c r="E8" s="164">
        <v>47</v>
      </c>
      <c r="F8" s="164"/>
      <c r="G8" s="164">
        <v>34</v>
      </c>
      <c r="H8" s="164">
        <v>56</v>
      </c>
      <c r="I8" s="164"/>
      <c r="J8" s="164">
        <v>45</v>
      </c>
      <c r="K8" s="164"/>
      <c r="L8" s="164">
        <v>53</v>
      </c>
      <c r="M8" s="164"/>
      <c r="N8" s="164"/>
      <c r="O8" s="165">
        <v>29</v>
      </c>
      <c r="P8" s="13">
        <f t="shared" si="1"/>
        <v>296</v>
      </c>
      <c r="Q8" s="11">
        <f t="shared" si="2"/>
        <v>7</v>
      </c>
      <c r="R8" s="11">
        <f t="shared" si="3"/>
        <v>42.285714285714285</v>
      </c>
      <c r="S8" s="12">
        <f t="shared" si="4"/>
        <v>105.71428571428572</v>
      </c>
      <c r="T8" s="70">
        <v>40</v>
      </c>
      <c r="U8" s="163">
        <v>38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38</v>
      </c>
      <c r="AI8" s="11">
        <f t="shared" si="6"/>
        <v>1</v>
      </c>
      <c r="AJ8" s="12">
        <f t="shared" si="7"/>
        <v>38</v>
      </c>
      <c r="AK8" s="77"/>
      <c r="AL8" s="124">
        <f t="shared" si="8"/>
        <v>334</v>
      </c>
      <c r="AM8" s="95">
        <f t="shared" si="9"/>
        <v>8</v>
      </c>
      <c r="AN8" s="11">
        <f t="shared" si="10"/>
        <v>41.75</v>
      </c>
      <c r="AO8" s="12">
        <f t="shared" si="11"/>
        <v>104.375</v>
      </c>
    </row>
    <row r="9" spans="1:41" s="10" customFormat="1" ht="20.100000000000001" customHeight="1" x14ac:dyDescent="0.3">
      <c r="A9" s="26" t="s">
        <v>301</v>
      </c>
      <c r="B9" s="70">
        <v>34</v>
      </c>
      <c r="C9" s="163">
        <v>27</v>
      </c>
      <c r="D9" s="164"/>
      <c r="E9" s="164"/>
      <c r="F9" s="164">
        <v>20</v>
      </c>
      <c r="G9" s="164"/>
      <c r="H9" s="164"/>
      <c r="I9" s="164">
        <v>29</v>
      </c>
      <c r="J9" s="164">
        <v>26</v>
      </c>
      <c r="K9" s="164"/>
      <c r="L9" s="164">
        <v>19</v>
      </c>
      <c r="M9" s="164"/>
      <c r="N9" s="164"/>
      <c r="O9" s="165"/>
      <c r="P9" s="13">
        <f t="shared" si="1"/>
        <v>121</v>
      </c>
      <c r="Q9" s="11">
        <f t="shared" si="2"/>
        <v>5</v>
      </c>
      <c r="R9" s="11">
        <f t="shared" si="3"/>
        <v>24.2</v>
      </c>
      <c r="S9" s="12">
        <f t="shared" si="4"/>
        <v>71.17647058823529</v>
      </c>
      <c r="T9" s="70">
        <v>34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8"/>
        <v>121</v>
      </c>
      <c r="AM9" s="95">
        <f t="shared" si="9"/>
        <v>5</v>
      </c>
      <c r="AN9" s="11">
        <f t="shared" si="10"/>
        <v>24.2</v>
      </c>
      <c r="AO9" s="12">
        <f t="shared" si="11"/>
        <v>71.17647058823529</v>
      </c>
    </row>
    <row r="10" spans="1:41" s="10" customFormat="1" ht="20.100000000000001" customHeight="1" x14ac:dyDescent="0.3">
      <c r="A10" s="26" t="s">
        <v>163</v>
      </c>
      <c r="B10" s="70">
        <v>35</v>
      </c>
      <c r="C10" s="163">
        <v>48</v>
      </c>
      <c r="D10" s="164">
        <v>27</v>
      </c>
      <c r="E10" s="164"/>
      <c r="F10" s="164">
        <v>29</v>
      </c>
      <c r="G10" s="164"/>
      <c r="H10" s="164">
        <v>24</v>
      </c>
      <c r="I10" s="164"/>
      <c r="J10" s="164"/>
      <c r="K10" s="164">
        <v>40</v>
      </c>
      <c r="L10" s="164">
        <v>28</v>
      </c>
      <c r="M10" s="164"/>
      <c r="N10" s="164">
        <v>46</v>
      </c>
      <c r="O10" s="165">
        <v>18</v>
      </c>
      <c r="P10" s="13">
        <f t="shared" si="1"/>
        <v>260</v>
      </c>
      <c r="Q10" s="11">
        <f t="shared" si="2"/>
        <v>8</v>
      </c>
      <c r="R10" s="11">
        <f t="shared" si="3"/>
        <v>32.5</v>
      </c>
      <c r="S10" s="12">
        <f t="shared" si="4"/>
        <v>92.857142857142861</v>
      </c>
      <c r="T10" s="70">
        <v>35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8"/>
        <v>260</v>
      </c>
      <c r="AM10" s="95">
        <f t="shared" si="9"/>
        <v>8</v>
      </c>
      <c r="AN10" s="11">
        <f t="shared" si="10"/>
        <v>32.5</v>
      </c>
      <c r="AO10" s="12">
        <f t="shared" si="11"/>
        <v>92.857142857142861</v>
      </c>
    </row>
    <row r="11" spans="1:41" s="10" customFormat="1" ht="20.100000000000001" customHeight="1" x14ac:dyDescent="0.3">
      <c r="A11" s="26" t="s">
        <v>164</v>
      </c>
      <c r="B11" s="70">
        <v>15</v>
      </c>
      <c r="C11" s="163">
        <v>19</v>
      </c>
      <c r="D11" s="164">
        <v>10</v>
      </c>
      <c r="E11" s="164">
        <v>9</v>
      </c>
      <c r="F11" s="164"/>
      <c r="G11" s="164"/>
      <c r="H11" s="164"/>
      <c r="I11" s="164">
        <v>13</v>
      </c>
      <c r="J11" s="164"/>
      <c r="K11" s="164"/>
      <c r="L11" s="164">
        <v>9</v>
      </c>
      <c r="M11" s="164">
        <v>13</v>
      </c>
      <c r="N11" s="164"/>
      <c r="O11" s="165">
        <v>13</v>
      </c>
      <c r="P11" s="13">
        <f t="shared" si="1"/>
        <v>86</v>
      </c>
      <c r="Q11" s="11">
        <f t="shared" si="2"/>
        <v>7</v>
      </c>
      <c r="R11" s="11">
        <f t="shared" si="3"/>
        <v>12.285714285714286</v>
      </c>
      <c r="S11" s="12">
        <f t="shared" si="4"/>
        <v>81.904761904761898</v>
      </c>
      <c r="T11" s="70">
        <v>15</v>
      </c>
      <c r="U11" s="163">
        <v>13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13</v>
      </c>
      <c r="AI11" s="11">
        <f t="shared" si="6"/>
        <v>1</v>
      </c>
      <c r="AJ11" s="12">
        <f t="shared" si="7"/>
        <v>13</v>
      </c>
      <c r="AK11" s="77"/>
      <c r="AL11" s="124">
        <f t="shared" si="8"/>
        <v>99</v>
      </c>
      <c r="AM11" s="95">
        <f t="shared" si="9"/>
        <v>8</v>
      </c>
      <c r="AN11" s="11">
        <f t="shared" si="10"/>
        <v>12.375</v>
      </c>
      <c r="AO11" s="12">
        <f t="shared" si="11"/>
        <v>82.5</v>
      </c>
    </row>
    <row r="12" spans="1:41" s="10" customFormat="1" ht="20.100000000000001" customHeight="1" x14ac:dyDescent="0.3">
      <c r="A12" s="26" t="s">
        <v>302</v>
      </c>
      <c r="B12" s="70">
        <v>38</v>
      </c>
      <c r="C12" s="163">
        <v>24</v>
      </c>
      <c r="D12" s="164"/>
      <c r="E12" s="164">
        <v>50</v>
      </c>
      <c r="F12" s="164"/>
      <c r="G12" s="164">
        <v>36</v>
      </c>
      <c r="H12" s="164"/>
      <c r="I12" s="164"/>
      <c r="J12" s="164">
        <v>40</v>
      </c>
      <c r="K12" s="164">
        <v>45</v>
      </c>
      <c r="L12" s="164"/>
      <c r="M12" s="164">
        <v>60</v>
      </c>
      <c r="N12" s="164">
        <v>38</v>
      </c>
      <c r="O12" s="165"/>
      <c r="P12" s="13">
        <f t="shared" si="1"/>
        <v>293</v>
      </c>
      <c r="Q12" s="11">
        <f t="shared" si="2"/>
        <v>7</v>
      </c>
      <c r="R12" s="11">
        <f t="shared" si="3"/>
        <v>41.857142857142854</v>
      </c>
      <c r="S12" s="12">
        <f t="shared" si="4"/>
        <v>110.15037593984962</v>
      </c>
      <c r="T12" s="70">
        <v>38</v>
      </c>
      <c r="U12" s="163">
        <v>26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26</v>
      </c>
      <c r="AI12" s="11">
        <f t="shared" si="6"/>
        <v>1</v>
      </c>
      <c r="AJ12" s="12">
        <f t="shared" si="7"/>
        <v>26</v>
      </c>
      <c r="AK12" s="77"/>
      <c r="AL12" s="124">
        <f t="shared" si="8"/>
        <v>319</v>
      </c>
      <c r="AM12" s="95">
        <f t="shared" si="9"/>
        <v>8</v>
      </c>
      <c r="AN12" s="11">
        <f t="shared" si="10"/>
        <v>39.875</v>
      </c>
      <c r="AO12" s="12">
        <f t="shared" si="11"/>
        <v>104.93421052631579</v>
      </c>
    </row>
    <row r="13" spans="1:41" s="10" customFormat="1" ht="20.100000000000001" customHeight="1" x14ac:dyDescent="0.3">
      <c r="A13" s="26" t="s">
        <v>165</v>
      </c>
      <c r="B13" s="70">
        <v>24</v>
      </c>
      <c r="C13" s="163"/>
      <c r="D13" s="164"/>
      <c r="E13" s="164">
        <v>33</v>
      </c>
      <c r="F13" s="164">
        <v>20</v>
      </c>
      <c r="G13" s="164"/>
      <c r="H13" s="164">
        <v>31</v>
      </c>
      <c r="I13" s="164">
        <v>34</v>
      </c>
      <c r="J13" s="164">
        <v>21</v>
      </c>
      <c r="K13" s="164"/>
      <c r="L13" s="164">
        <v>19</v>
      </c>
      <c r="M13" s="164">
        <v>30</v>
      </c>
      <c r="N13" s="164">
        <v>14</v>
      </c>
      <c r="O13" s="165"/>
      <c r="P13" s="13">
        <f t="shared" si="1"/>
        <v>202</v>
      </c>
      <c r="Q13" s="11">
        <f t="shared" si="2"/>
        <v>8</v>
      </c>
      <c r="R13" s="11">
        <f t="shared" si="3"/>
        <v>25.25</v>
      </c>
      <c r="S13" s="12">
        <f t="shared" si="4"/>
        <v>105.20833333333333</v>
      </c>
      <c r="T13" s="70">
        <v>24</v>
      </c>
      <c r="U13" s="163">
        <v>17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17</v>
      </c>
      <c r="AI13" s="11">
        <f t="shared" si="6"/>
        <v>1</v>
      </c>
      <c r="AJ13" s="12">
        <f t="shared" si="7"/>
        <v>17</v>
      </c>
      <c r="AK13" s="77"/>
      <c r="AL13" s="124">
        <f t="shared" si="8"/>
        <v>219</v>
      </c>
      <c r="AM13" s="95">
        <f t="shared" si="9"/>
        <v>9</v>
      </c>
      <c r="AN13" s="11">
        <f t="shared" si="10"/>
        <v>24.333333333333332</v>
      </c>
      <c r="AO13" s="12">
        <f t="shared" si="11"/>
        <v>101.38888888888889</v>
      </c>
    </row>
    <row r="14" spans="1:41" s="10" customFormat="1" ht="20.100000000000001" customHeight="1" x14ac:dyDescent="0.3">
      <c r="A14" s="26" t="s">
        <v>360</v>
      </c>
      <c r="B14" s="131">
        <v>15</v>
      </c>
      <c r="C14" s="163"/>
      <c r="D14" s="164">
        <v>14</v>
      </c>
      <c r="E14" s="164"/>
      <c r="F14" s="164">
        <v>7</v>
      </c>
      <c r="G14" s="164">
        <v>9</v>
      </c>
      <c r="H14" s="164"/>
      <c r="I14" s="164">
        <v>7</v>
      </c>
      <c r="J14" s="164">
        <v>7</v>
      </c>
      <c r="K14" s="164"/>
      <c r="L14" s="164"/>
      <c r="M14" s="164">
        <v>12</v>
      </c>
      <c r="N14" s="164"/>
      <c r="O14" s="165">
        <v>10</v>
      </c>
      <c r="P14" s="13">
        <f t="shared" si="1"/>
        <v>66</v>
      </c>
      <c r="Q14" s="11">
        <f t="shared" si="2"/>
        <v>7</v>
      </c>
      <c r="R14" s="11">
        <f t="shared" si="3"/>
        <v>9.4285714285714288</v>
      </c>
      <c r="S14" s="12">
        <f t="shared" si="4"/>
        <v>62.857142857142854</v>
      </c>
      <c r="T14" s="276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8"/>
        <v>66</v>
      </c>
      <c r="AM14" s="95">
        <f t="shared" si="9"/>
        <v>7</v>
      </c>
      <c r="AN14" s="11">
        <f t="shared" si="10"/>
        <v>9.4285714285714288</v>
      </c>
      <c r="AO14" s="12">
        <f t="shared" si="11"/>
        <v>62.857142857142854</v>
      </c>
    </row>
    <row r="15" spans="1:41" s="10" customFormat="1" ht="20.100000000000001" customHeight="1" x14ac:dyDescent="0.3">
      <c r="A15" s="26">
        <v>0</v>
      </c>
      <c r="B15" s="131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213</v>
      </c>
      <c r="H19" s="19">
        <f t="shared" si="13"/>
        <v>208</v>
      </c>
      <c r="I19" s="19">
        <f t="shared" si="13"/>
        <v>144</v>
      </c>
      <c r="J19" s="19">
        <f t="shared" si="13"/>
        <v>186</v>
      </c>
      <c r="K19" s="19">
        <f t="shared" si="13"/>
        <v>230</v>
      </c>
      <c r="L19" s="19">
        <f t="shared" si="13"/>
        <v>159</v>
      </c>
      <c r="M19" s="19">
        <f t="shared" si="13"/>
        <v>215</v>
      </c>
      <c r="N19" s="19">
        <f t="shared" si="13"/>
        <v>170</v>
      </c>
      <c r="O19" s="19">
        <f t="shared" si="13"/>
        <v>142</v>
      </c>
      <c r="P19" s="19">
        <f t="shared" si="13"/>
        <v>2352</v>
      </c>
      <c r="Q19" s="19">
        <f t="shared" si="13"/>
        <v>78</v>
      </c>
      <c r="R19" s="19">
        <f>P19/Q19</f>
        <v>30.153846153846153</v>
      </c>
      <c r="S19" s="22"/>
      <c r="T19" s="179">
        <f>SUM(T4:T18)</f>
        <v>331</v>
      </c>
      <c r="U19" s="21">
        <f>SUM(U4:U18)</f>
        <v>153</v>
      </c>
      <c r="V19" s="19">
        <f>SUM(V4:V18)</f>
        <v>0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153</v>
      </c>
      <c r="AI19" s="18">
        <f>SUM(AI4:AI18)</f>
        <v>6</v>
      </c>
      <c r="AJ19" s="23">
        <f>AH19/AI19</f>
        <v>25.5</v>
      </c>
      <c r="AK19" s="78"/>
      <c r="AL19" s="24">
        <f>SUM(AL4:AL18)</f>
        <v>2505</v>
      </c>
      <c r="AM19" s="18">
        <f>SUM(AM4:AM18)</f>
        <v>84</v>
      </c>
      <c r="AN19" s="18">
        <f t="shared" ref="AN19" si="16">AL19/AM19</f>
        <v>29.821428571428573</v>
      </c>
      <c r="AO19" s="20"/>
    </row>
  </sheetData>
  <mergeCells count="18">
    <mergeCell ref="AN2:AN3"/>
    <mergeCell ref="AO2:AO3"/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</mergeCells>
  <conditionalFormatting sqref="A4:A19">
    <cfRule type="cellIs" dxfId="22" priority="8" operator="equal">
      <formula>0</formula>
    </cfRule>
  </conditionalFormatting>
  <conditionalFormatting sqref="A19 C19:S19 U19:AO19">
    <cfRule type="containsErrors" dxfId="21" priority="10">
      <formula>ISERROR(A19)</formula>
    </cfRule>
  </conditionalFormatting>
  <conditionalFormatting sqref="B4:B19">
    <cfRule type="cellIs" dxfId="20" priority="7" operator="equal">
      <formula>0</formula>
    </cfRule>
  </conditionalFormatting>
  <conditionalFormatting sqref="P4:S18 C19:S19">
    <cfRule type="cellIs" dxfId="19" priority="3" operator="equal">
      <formula>0</formula>
    </cfRule>
  </conditionalFormatting>
  <conditionalFormatting sqref="T4:T19">
    <cfRule type="cellIs" dxfId="18" priority="1" operator="equal">
      <formula>0</formula>
    </cfRule>
  </conditionalFormatting>
  <conditionalFormatting sqref="AH4:AO18 U19:AO19">
    <cfRule type="cellIs" dxfId="17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showRowColHeaders="0" topLeftCell="A2" zoomScaleNormal="100" workbookViewId="0">
      <selection activeCell="T24" sqref="T24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1"/>
      <c r="AL1" s="305" t="s">
        <v>41</v>
      </c>
      <c r="AM1" s="305"/>
      <c r="AN1" s="305"/>
      <c r="AO1" s="306"/>
    </row>
    <row r="2" spans="1:41" ht="121.5" customHeight="1" thickBot="1" x14ac:dyDescent="0.35">
      <c r="A2" s="307" t="s">
        <v>33</v>
      </c>
      <c r="B2" s="309" t="s">
        <v>42</v>
      </c>
      <c r="C2" s="311" t="s">
        <v>166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128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7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08"/>
      <c r="B3" s="31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02"/>
      <c r="AI3" s="298"/>
      <c r="AJ3" s="298"/>
      <c r="AK3" s="76"/>
      <c r="AL3" s="302"/>
      <c r="AM3" s="298"/>
      <c r="AN3" s="298"/>
      <c r="AO3" s="300"/>
    </row>
    <row r="4" spans="1:41" ht="20.100000000000001" customHeight="1" x14ac:dyDescent="0.3">
      <c r="A4" s="177" t="s">
        <v>167</v>
      </c>
      <c r="B4" s="137">
        <v>17</v>
      </c>
      <c r="C4" s="160"/>
      <c r="D4" s="161">
        <v>14</v>
      </c>
      <c r="E4" s="161"/>
      <c r="F4" s="161">
        <v>13</v>
      </c>
      <c r="G4" s="161"/>
      <c r="H4" s="161">
        <v>9</v>
      </c>
      <c r="I4" s="161"/>
      <c r="J4" s="161"/>
      <c r="K4" s="161"/>
      <c r="L4" s="161"/>
      <c r="M4" s="161">
        <v>15</v>
      </c>
      <c r="N4" s="161"/>
      <c r="O4" s="162"/>
      <c r="P4" s="9">
        <f>SUM(C4:O4)</f>
        <v>51</v>
      </c>
      <c r="Q4" s="8">
        <f>COUNTIF(C4:O4,"&gt;0")</f>
        <v>4</v>
      </c>
      <c r="R4" s="8">
        <f>IF(P4=0," ",P4/Q4)</f>
        <v>12.75</v>
      </c>
      <c r="S4" s="94">
        <f t="shared" ref="S4" si="0">IF(P4=0," ",P4/(Q4*T4)*100)</f>
        <v>75</v>
      </c>
      <c r="T4" s="70">
        <v>17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4" si="1">P4+AH4</f>
        <v>51</v>
      </c>
      <c r="AM4" s="123">
        <f t="shared" si="1"/>
        <v>4</v>
      </c>
      <c r="AN4" s="8">
        <f>IF(AL4=0," ",AL4/AM4)</f>
        <v>12.75</v>
      </c>
      <c r="AO4" s="94">
        <f>IF(AL4=0," ",AL4/(AM4*T4)*100)</f>
        <v>75</v>
      </c>
    </row>
    <row r="5" spans="1:41" ht="20.100000000000001" customHeight="1" x14ac:dyDescent="0.3">
      <c r="A5" s="26" t="s">
        <v>168</v>
      </c>
      <c r="B5" s="70">
        <v>38</v>
      </c>
      <c r="C5" s="163">
        <v>25</v>
      </c>
      <c r="D5" s="164"/>
      <c r="E5" s="164"/>
      <c r="F5" s="164">
        <v>43</v>
      </c>
      <c r="G5" s="164"/>
      <c r="H5" s="164"/>
      <c r="I5" s="164"/>
      <c r="J5" s="164">
        <v>57</v>
      </c>
      <c r="K5" s="164">
        <v>31</v>
      </c>
      <c r="L5" s="164">
        <v>29</v>
      </c>
      <c r="M5" s="164">
        <v>28</v>
      </c>
      <c r="N5" s="164"/>
      <c r="O5" s="165">
        <v>25</v>
      </c>
      <c r="P5" s="13">
        <f t="shared" ref="P5:P18" si="2">SUM(C5:O5)</f>
        <v>238</v>
      </c>
      <c r="Q5" s="11">
        <f t="shared" ref="Q5:Q18" si="3">COUNTIF(C5:O5,"&gt;0")</f>
        <v>7</v>
      </c>
      <c r="R5" s="11">
        <f t="shared" ref="R5:R18" si="4">IF(P5=0," ",P5/Q5)</f>
        <v>34</v>
      </c>
      <c r="S5" s="12">
        <f t="shared" ref="S5:S18" si="5">IF(P5=0," ",P5/(Q5*T5)*100)</f>
        <v>89.473684210526315</v>
      </c>
      <c r="T5" s="70">
        <v>38</v>
      </c>
      <c r="U5" s="163">
        <v>27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27</v>
      </c>
      <c r="AI5" s="11">
        <f t="shared" ref="AI5:AI18" si="7">COUNTIF(U5:AG5,"&gt;0")</f>
        <v>1</v>
      </c>
      <c r="AJ5" s="12">
        <f t="shared" ref="AJ5:AJ18" si="8">IF(AH5=0," ",AH5/AI5)</f>
        <v>27</v>
      </c>
      <c r="AK5" s="77"/>
      <c r="AL5" s="124">
        <f t="shared" ref="AL5:AL18" si="9">P5+AH5</f>
        <v>265</v>
      </c>
      <c r="AM5" s="95">
        <f t="shared" ref="AM5:AM18" si="10">Q5+AI5</f>
        <v>8</v>
      </c>
      <c r="AN5" s="11">
        <f t="shared" ref="AN5:AN18" si="11">IF(AL5=0," ",AL5/AM5)</f>
        <v>33.125</v>
      </c>
      <c r="AO5" s="12">
        <f t="shared" ref="AO5:AO18" si="12">IF(AL5=0," ",AL5/(AM5*T5)*100)</f>
        <v>87.171052631578945</v>
      </c>
    </row>
    <row r="6" spans="1:41" ht="20.100000000000001" customHeight="1" x14ac:dyDescent="0.3">
      <c r="A6" s="26" t="s">
        <v>341</v>
      </c>
      <c r="B6" s="131">
        <v>54</v>
      </c>
      <c r="C6" s="163">
        <v>59</v>
      </c>
      <c r="D6" s="164">
        <v>47</v>
      </c>
      <c r="E6" s="164">
        <v>56</v>
      </c>
      <c r="F6" s="164"/>
      <c r="G6" s="164">
        <v>87</v>
      </c>
      <c r="H6" s="164"/>
      <c r="I6" s="164">
        <v>79</v>
      </c>
      <c r="J6" s="164">
        <v>37</v>
      </c>
      <c r="K6" s="164"/>
      <c r="L6" s="164">
        <v>68</v>
      </c>
      <c r="M6" s="164"/>
      <c r="N6" s="164">
        <v>38</v>
      </c>
      <c r="O6" s="165">
        <v>55</v>
      </c>
      <c r="P6" s="13">
        <f t="shared" si="2"/>
        <v>526</v>
      </c>
      <c r="Q6" s="11">
        <f t="shared" si="3"/>
        <v>9</v>
      </c>
      <c r="R6" s="11">
        <f t="shared" si="4"/>
        <v>58.444444444444443</v>
      </c>
      <c r="S6" s="12">
        <f t="shared" si="5"/>
        <v>100.76628352490422</v>
      </c>
      <c r="T6" s="276">
        <v>58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526</v>
      </c>
      <c r="AM6" s="95">
        <f t="shared" si="10"/>
        <v>9</v>
      </c>
      <c r="AN6" s="11">
        <f t="shared" si="11"/>
        <v>58.444444444444443</v>
      </c>
      <c r="AO6" s="12">
        <f t="shared" si="12"/>
        <v>100.76628352490422</v>
      </c>
    </row>
    <row r="7" spans="1:41" ht="20.100000000000001" customHeight="1" x14ac:dyDescent="0.3">
      <c r="A7" s="26" t="s">
        <v>169</v>
      </c>
      <c r="B7" s="70">
        <v>15</v>
      </c>
      <c r="C7" s="163"/>
      <c r="D7" s="164"/>
      <c r="E7" s="164"/>
      <c r="F7" s="164">
        <v>10</v>
      </c>
      <c r="G7" s="164"/>
      <c r="H7" s="164">
        <v>24</v>
      </c>
      <c r="I7" s="164"/>
      <c r="J7" s="164">
        <v>10</v>
      </c>
      <c r="K7" s="164">
        <v>10</v>
      </c>
      <c r="L7" s="164"/>
      <c r="M7" s="164"/>
      <c r="N7" s="164"/>
      <c r="O7" s="165"/>
      <c r="P7" s="13">
        <f t="shared" si="2"/>
        <v>54</v>
      </c>
      <c r="Q7" s="11">
        <f t="shared" si="3"/>
        <v>4</v>
      </c>
      <c r="R7" s="11">
        <f t="shared" si="4"/>
        <v>13.5</v>
      </c>
      <c r="S7" s="12">
        <f t="shared" si="5"/>
        <v>90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54</v>
      </c>
      <c r="AM7" s="95">
        <f t="shared" si="10"/>
        <v>4</v>
      </c>
      <c r="AN7" s="11">
        <f t="shared" si="11"/>
        <v>13.5</v>
      </c>
      <c r="AO7" s="12">
        <f t="shared" si="12"/>
        <v>90</v>
      </c>
    </row>
    <row r="8" spans="1:41" ht="20.100000000000001" customHeight="1" x14ac:dyDescent="0.3">
      <c r="A8" s="69" t="s">
        <v>170</v>
      </c>
      <c r="B8" s="70">
        <v>32</v>
      </c>
      <c r="C8" s="163"/>
      <c r="D8" s="164">
        <v>23</v>
      </c>
      <c r="E8" s="164">
        <v>31</v>
      </c>
      <c r="F8" s="164"/>
      <c r="G8" s="164"/>
      <c r="H8" s="164">
        <v>34</v>
      </c>
      <c r="I8" s="164">
        <v>56</v>
      </c>
      <c r="J8" s="164">
        <v>35</v>
      </c>
      <c r="K8" s="164">
        <v>23</v>
      </c>
      <c r="L8" s="164"/>
      <c r="M8" s="164">
        <v>20</v>
      </c>
      <c r="N8" s="164"/>
      <c r="O8" s="165"/>
      <c r="P8" s="13">
        <f t="shared" si="2"/>
        <v>222</v>
      </c>
      <c r="Q8" s="11">
        <f t="shared" si="3"/>
        <v>7</v>
      </c>
      <c r="R8" s="11">
        <f t="shared" si="4"/>
        <v>31.714285714285715</v>
      </c>
      <c r="S8" s="12">
        <f t="shared" si="5"/>
        <v>99.107142857142861</v>
      </c>
      <c r="T8" s="70">
        <v>32</v>
      </c>
      <c r="U8" s="163">
        <v>28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28</v>
      </c>
      <c r="AI8" s="11">
        <f t="shared" si="7"/>
        <v>1</v>
      </c>
      <c r="AJ8" s="12">
        <f t="shared" si="8"/>
        <v>28</v>
      </c>
      <c r="AK8" s="77"/>
      <c r="AL8" s="124">
        <f t="shared" si="9"/>
        <v>250</v>
      </c>
      <c r="AM8" s="95">
        <f t="shared" si="10"/>
        <v>8</v>
      </c>
      <c r="AN8" s="11">
        <f t="shared" si="11"/>
        <v>31.25</v>
      </c>
      <c r="AO8" s="12">
        <f t="shared" si="12"/>
        <v>97.65625</v>
      </c>
    </row>
    <row r="9" spans="1:41" ht="20.100000000000001" customHeight="1" x14ac:dyDescent="0.3">
      <c r="A9" s="26" t="s">
        <v>171</v>
      </c>
      <c r="B9" s="70">
        <v>19</v>
      </c>
      <c r="C9" s="163">
        <v>29</v>
      </c>
      <c r="D9" s="164">
        <v>19</v>
      </c>
      <c r="E9" s="164"/>
      <c r="F9" s="164"/>
      <c r="G9" s="164"/>
      <c r="H9" s="164"/>
      <c r="I9" s="164"/>
      <c r="J9" s="164"/>
      <c r="K9" s="164"/>
      <c r="L9" s="164">
        <v>32</v>
      </c>
      <c r="M9" s="164"/>
      <c r="N9" s="164">
        <v>21</v>
      </c>
      <c r="O9" s="165"/>
      <c r="P9" s="13">
        <f t="shared" si="2"/>
        <v>101</v>
      </c>
      <c r="Q9" s="11">
        <f t="shared" si="3"/>
        <v>4</v>
      </c>
      <c r="R9" s="11">
        <f t="shared" si="4"/>
        <v>25.25</v>
      </c>
      <c r="S9" s="12">
        <f t="shared" si="5"/>
        <v>132.89473684210526</v>
      </c>
      <c r="T9" s="70">
        <v>19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101</v>
      </c>
      <c r="AM9" s="95">
        <f t="shared" si="10"/>
        <v>4</v>
      </c>
      <c r="AN9" s="11">
        <f t="shared" si="11"/>
        <v>25.25</v>
      </c>
      <c r="AO9" s="12">
        <f t="shared" si="12"/>
        <v>132.89473684210526</v>
      </c>
    </row>
    <row r="10" spans="1:41" ht="20.100000000000001" customHeight="1" x14ac:dyDescent="0.3">
      <c r="A10" s="26" t="s">
        <v>172</v>
      </c>
      <c r="B10" s="70">
        <v>21</v>
      </c>
      <c r="C10" s="163">
        <v>17</v>
      </c>
      <c r="D10" s="164"/>
      <c r="E10" s="164">
        <v>22</v>
      </c>
      <c r="F10" s="164"/>
      <c r="G10" s="164"/>
      <c r="H10" s="164"/>
      <c r="I10" s="164"/>
      <c r="J10" s="164"/>
      <c r="K10" s="164"/>
      <c r="L10" s="164"/>
      <c r="M10" s="164"/>
      <c r="N10" s="164">
        <v>29</v>
      </c>
      <c r="O10" s="165">
        <v>14</v>
      </c>
      <c r="P10" s="13">
        <f t="shared" si="2"/>
        <v>82</v>
      </c>
      <c r="Q10" s="11">
        <f t="shared" si="3"/>
        <v>4</v>
      </c>
      <c r="R10" s="11">
        <f t="shared" si="4"/>
        <v>20.5</v>
      </c>
      <c r="S10" s="12">
        <f t="shared" si="5"/>
        <v>97.61904761904762</v>
      </c>
      <c r="T10" s="70">
        <v>21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82</v>
      </c>
      <c r="AM10" s="95">
        <f t="shared" si="10"/>
        <v>4</v>
      </c>
      <c r="AN10" s="11">
        <f t="shared" si="11"/>
        <v>20.5</v>
      </c>
      <c r="AO10" s="12">
        <f t="shared" si="12"/>
        <v>97.61904761904762</v>
      </c>
    </row>
    <row r="11" spans="1:41" ht="20.100000000000001" customHeight="1" x14ac:dyDescent="0.3">
      <c r="A11" s="26" t="s">
        <v>173</v>
      </c>
      <c r="B11" s="70">
        <v>24</v>
      </c>
      <c r="C11" s="163"/>
      <c r="D11" s="164"/>
      <c r="E11" s="164">
        <v>33</v>
      </c>
      <c r="F11" s="164"/>
      <c r="G11" s="164">
        <v>18</v>
      </c>
      <c r="H11" s="164"/>
      <c r="I11" s="164">
        <v>31</v>
      </c>
      <c r="J11" s="164">
        <v>48</v>
      </c>
      <c r="K11" s="164">
        <v>34</v>
      </c>
      <c r="L11" s="164"/>
      <c r="M11" s="164"/>
      <c r="N11" s="164"/>
      <c r="O11" s="165">
        <v>33</v>
      </c>
      <c r="P11" s="13">
        <f t="shared" si="2"/>
        <v>197</v>
      </c>
      <c r="Q11" s="11">
        <f t="shared" si="3"/>
        <v>6</v>
      </c>
      <c r="R11" s="11">
        <f t="shared" si="4"/>
        <v>32.833333333333336</v>
      </c>
      <c r="S11" s="12">
        <f t="shared" si="5"/>
        <v>136.80555555555557</v>
      </c>
      <c r="T11" s="70">
        <v>24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197</v>
      </c>
      <c r="AM11" s="95">
        <f t="shared" si="10"/>
        <v>6</v>
      </c>
      <c r="AN11" s="11">
        <f t="shared" si="11"/>
        <v>32.833333333333336</v>
      </c>
      <c r="AO11" s="12">
        <f t="shared" si="12"/>
        <v>136.80555555555557</v>
      </c>
    </row>
    <row r="12" spans="1:41" ht="20.100000000000001" customHeight="1" x14ac:dyDescent="0.3">
      <c r="A12" s="26" t="s">
        <v>315</v>
      </c>
      <c r="B12" s="70">
        <v>38</v>
      </c>
      <c r="C12" s="163">
        <v>40</v>
      </c>
      <c r="D12" s="164"/>
      <c r="E12" s="164">
        <v>31</v>
      </c>
      <c r="F12" s="164">
        <v>28</v>
      </c>
      <c r="G12" s="164">
        <v>52</v>
      </c>
      <c r="H12" s="164"/>
      <c r="I12" s="164">
        <v>30</v>
      </c>
      <c r="J12" s="164"/>
      <c r="K12" s="164"/>
      <c r="L12" s="164">
        <v>29</v>
      </c>
      <c r="M12" s="164"/>
      <c r="N12" s="164">
        <v>34</v>
      </c>
      <c r="O12" s="165"/>
      <c r="P12" s="13">
        <f t="shared" si="2"/>
        <v>244</v>
      </c>
      <c r="Q12" s="11">
        <f t="shared" si="3"/>
        <v>7</v>
      </c>
      <c r="R12" s="11">
        <f t="shared" si="4"/>
        <v>34.857142857142854</v>
      </c>
      <c r="S12" s="12">
        <f t="shared" si="5"/>
        <v>91.729323308270665</v>
      </c>
      <c r="T12" s="70">
        <v>38</v>
      </c>
      <c r="U12" s="163">
        <v>37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37</v>
      </c>
      <c r="AI12" s="11">
        <f t="shared" si="7"/>
        <v>1</v>
      </c>
      <c r="AJ12" s="12">
        <f t="shared" si="8"/>
        <v>37</v>
      </c>
      <c r="AK12" s="77"/>
      <c r="AL12" s="124">
        <f t="shared" si="9"/>
        <v>281</v>
      </c>
      <c r="AM12" s="95">
        <f t="shared" si="10"/>
        <v>8</v>
      </c>
      <c r="AN12" s="11">
        <f t="shared" si="11"/>
        <v>35.125</v>
      </c>
      <c r="AO12" s="12">
        <f t="shared" si="12"/>
        <v>92.43421052631578</v>
      </c>
    </row>
    <row r="13" spans="1:41" ht="20.100000000000001" customHeight="1" x14ac:dyDescent="0.3">
      <c r="A13" s="26" t="s">
        <v>316</v>
      </c>
      <c r="B13" s="70">
        <v>88</v>
      </c>
      <c r="C13" s="163"/>
      <c r="D13" s="164"/>
      <c r="E13" s="164"/>
      <c r="F13" s="164">
        <v>120</v>
      </c>
      <c r="G13" s="164">
        <v>115</v>
      </c>
      <c r="H13" s="164">
        <v>84</v>
      </c>
      <c r="I13" s="164"/>
      <c r="J13" s="164"/>
      <c r="K13" s="164">
        <v>56</v>
      </c>
      <c r="L13" s="164">
        <v>81</v>
      </c>
      <c r="M13" s="164">
        <v>65</v>
      </c>
      <c r="N13" s="164"/>
      <c r="O13" s="165">
        <v>58</v>
      </c>
      <c r="P13" s="13">
        <f t="shared" si="2"/>
        <v>579</v>
      </c>
      <c r="Q13" s="11">
        <f t="shared" si="3"/>
        <v>7</v>
      </c>
      <c r="R13" s="11">
        <f t="shared" si="4"/>
        <v>82.714285714285708</v>
      </c>
      <c r="S13" s="12">
        <f t="shared" si="5"/>
        <v>93.993506493506501</v>
      </c>
      <c r="T13" s="70">
        <v>88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579</v>
      </c>
      <c r="AM13" s="95">
        <f t="shared" si="10"/>
        <v>7</v>
      </c>
      <c r="AN13" s="11">
        <f t="shared" si="11"/>
        <v>82.714285714285708</v>
      </c>
      <c r="AO13" s="12">
        <f t="shared" si="12"/>
        <v>93.993506493506501</v>
      </c>
    </row>
    <row r="14" spans="1:41" ht="20.100000000000001" customHeight="1" x14ac:dyDescent="0.3">
      <c r="A14" s="26" t="s">
        <v>174</v>
      </c>
      <c r="B14" s="70">
        <v>30</v>
      </c>
      <c r="C14" s="163"/>
      <c r="D14" s="164"/>
      <c r="E14" s="164"/>
      <c r="F14" s="164"/>
      <c r="G14" s="164">
        <v>30</v>
      </c>
      <c r="H14" s="164"/>
      <c r="I14" s="164">
        <v>28</v>
      </c>
      <c r="J14" s="164">
        <v>34</v>
      </c>
      <c r="K14" s="164"/>
      <c r="L14" s="164">
        <v>38</v>
      </c>
      <c r="M14" s="164">
        <v>20</v>
      </c>
      <c r="N14" s="164">
        <v>16</v>
      </c>
      <c r="O14" s="165"/>
      <c r="P14" s="13">
        <f t="shared" si="2"/>
        <v>166</v>
      </c>
      <c r="Q14" s="11">
        <f t="shared" si="3"/>
        <v>6</v>
      </c>
      <c r="R14" s="11">
        <f t="shared" si="4"/>
        <v>27.666666666666668</v>
      </c>
      <c r="S14" s="12">
        <f t="shared" si="5"/>
        <v>92.222222222222229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166</v>
      </c>
      <c r="AM14" s="95">
        <f t="shared" si="10"/>
        <v>6</v>
      </c>
      <c r="AN14" s="11">
        <f t="shared" si="11"/>
        <v>27.666666666666668</v>
      </c>
      <c r="AO14" s="12">
        <f t="shared" si="12"/>
        <v>92.222222222222229</v>
      </c>
    </row>
    <row r="15" spans="1:41" ht="20.100000000000001" customHeight="1" x14ac:dyDescent="0.3">
      <c r="A15" s="26" t="s">
        <v>175</v>
      </c>
      <c r="B15" s="70">
        <v>21</v>
      </c>
      <c r="C15" s="163">
        <v>25</v>
      </c>
      <c r="D15" s="164">
        <v>20</v>
      </c>
      <c r="E15" s="164">
        <v>24</v>
      </c>
      <c r="F15" s="164"/>
      <c r="G15" s="164">
        <v>18</v>
      </c>
      <c r="H15" s="164">
        <v>30</v>
      </c>
      <c r="I15" s="164">
        <v>22</v>
      </c>
      <c r="J15" s="164"/>
      <c r="K15" s="164">
        <v>15</v>
      </c>
      <c r="L15" s="164"/>
      <c r="M15" s="164">
        <v>12</v>
      </c>
      <c r="N15" s="164"/>
      <c r="O15" s="165">
        <v>25</v>
      </c>
      <c r="P15" s="13">
        <f t="shared" si="2"/>
        <v>191</v>
      </c>
      <c r="Q15" s="11">
        <f t="shared" si="3"/>
        <v>9</v>
      </c>
      <c r="R15" s="11">
        <f t="shared" si="4"/>
        <v>21.222222222222221</v>
      </c>
      <c r="S15" s="12">
        <f t="shared" si="5"/>
        <v>101.05820105820106</v>
      </c>
      <c r="T15" s="70">
        <v>21</v>
      </c>
      <c r="U15" s="163">
        <v>20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20</v>
      </c>
      <c r="AI15" s="11">
        <f t="shared" si="7"/>
        <v>1</v>
      </c>
      <c r="AJ15" s="12">
        <f t="shared" si="8"/>
        <v>20</v>
      </c>
      <c r="AK15" s="77"/>
      <c r="AL15" s="124">
        <f t="shared" si="9"/>
        <v>211</v>
      </c>
      <c r="AM15" s="95">
        <f t="shared" si="10"/>
        <v>10</v>
      </c>
      <c r="AN15" s="11">
        <f t="shared" si="11"/>
        <v>21.1</v>
      </c>
      <c r="AO15" s="12">
        <f t="shared" si="12"/>
        <v>100.47619047619048</v>
      </c>
    </row>
    <row r="16" spans="1:41" ht="20.100000000000001" customHeight="1" x14ac:dyDescent="0.3">
      <c r="A16" s="26" t="s">
        <v>357</v>
      </c>
      <c r="B16" s="131">
        <v>15</v>
      </c>
      <c r="C16" s="163"/>
      <c r="D16" s="164">
        <v>8</v>
      </c>
      <c r="E16" s="164"/>
      <c r="F16" s="164">
        <v>17</v>
      </c>
      <c r="G16" s="164"/>
      <c r="H16" s="164">
        <v>9</v>
      </c>
      <c r="I16" s="164"/>
      <c r="J16" s="164"/>
      <c r="K16" s="164"/>
      <c r="L16" s="164"/>
      <c r="M16" s="164"/>
      <c r="N16" s="164">
        <v>16</v>
      </c>
      <c r="O16" s="165"/>
      <c r="P16" s="13">
        <f t="shared" si="2"/>
        <v>50</v>
      </c>
      <c r="Q16" s="11">
        <f t="shared" si="3"/>
        <v>4</v>
      </c>
      <c r="R16" s="11">
        <f t="shared" si="4"/>
        <v>12.5</v>
      </c>
      <c r="S16" s="12">
        <f t="shared" si="5"/>
        <v>83.333333333333343</v>
      </c>
      <c r="T16" s="276">
        <v>15</v>
      </c>
      <c r="U16" s="163">
        <v>10</v>
      </c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10</v>
      </c>
      <c r="AI16" s="11">
        <f t="shared" si="7"/>
        <v>1</v>
      </c>
      <c r="AJ16" s="12">
        <f t="shared" si="8"/>
        <v>10</v>
      </c>
      <c r="AK16" s="77"/>
      <c r="AL16" s="124">
        <f t="shared" si="9"/>
        <v>60</v>
      </c>
      <c r="AM16" s="95">
        <f t="shared" si="10"/>
        <v>5</v>
      </c>
      <c r="AN16" s="11">
        <f t="shared" si="11"/>
        <v>12</v>
      </c>
      <c r="AO16" s="12">
        <f t="shared" si="12"/>
        <v>80</v>
      </c>
    </row>
    <row r="17" spans="1:41" ht="20.100000000000001" customHeight="1" x14ac:dyDescent="0.3">
      <c r="A17" s="26" t="s">
        <v>373</v>
      </c>
      <c r="B17" s="131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>SUM(C17:O17)</f>
        <v>0</v>
      </c>
      <c r="Q17" s="11">
        <f>COUNTIF(C17:O17,"&gt;0")</f>
        <v>0</v>
      </c>
      <c r="R17" s="11" t="str">
        <f>IF(P17=0," ",P17/Q17)</f>
        <v xml:space="preserve"> </v>
      </c>
      <c r="S17" s="12" t="str">
        <f>IF(P17=0," ",P17/(Q17*T17)*100)</f>
        <v xml:space="preserve"> </v>
      </c>
      <c r="T17" s="131">
        <v>35</v>
      </c>
      <c r="U17" s="163">
        <v>28</v>
      </c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>SUM(U17:AG17)</f>
        <v>28</v>
      </c>
      <c r="AI17" s="11">
        <f>COUNTIF(U17:AG17,"&gt;0")</f>
        <v>1</v>
      </c>
      <c r="AJ17" s="12">
        <f>IF(AH17=0," ",AH17/AI17)</f>
        <v>28</v>
      </c>
      <c r="AK17" s="77"/>
      <c r="AL17" s="124">
        <f>P17+AH17</f>
        <v>28</v>
      </c>
      <c r="AM17" s="95">
        <f>Q17+AI17</f>
        <v>1</v>
      </c>
      <c r="AN17" s="11">
        <f>IF(AL17=0," ",AL17/AM17)</f>
        <v>28</v>
      </c>
      <c r="AO17" s="12">
        <f>IF(AL17=0," ",AL17/(AM17*T17)*100)</f>
        <v>80</v>
      </c>
    </row>
    <row r="18" spans="1:4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59">
        <f>COUNT(B3:B18)</f>
        <v>15</v>
      </c>
      <c r="B19" s="180">
        <f>SUM(B4:B16)</f>
        <v>412</v>
      </c>
      <c r="C19" s="21">
        <f t="shared" ref="C19:Q19" si="14">SUM(C4:C18)</f>
        <v>195</v>
      </c>
      <c r="D19" s="19">
        <f t="shared" si="14"/>
        <v>131</v>
      </c>
      <c r="E19" s="19">
        <f t="shared" si="14"/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221</v>
      </c>
      <c r="K19" s="19">
        <f t="shared" si="14"/>
        <v>169</v>
      </c>
      <c r="L19" s="19">
        <f t="shared" si="14"/>
        <v>277</v>
      </c>
      <c r="M19" s="19">
        <f t="shared" si="14"/>
        <v>160</v>
      </c>
      <c r="N19" s="19">
        <f t="shared" si="14"/>
        <v>154</v>
      </c>
      <c r="O19" s="19">
        <f t="shared" si="14"/>
        <v>210</v>
      </c>
      <c r="P19" s="19">
        <f t="shared" si="14"/>
        <v>2701</v>
      </c>
      <c r="Q19" s="19">
        <f t="shared" si="14"/>
        <v>78</v>
      </c>
      <c r="R19" s="19">
        <f>P19/Q19</f>
        <v>34.628205128205131</v>
      </c>
      <c r="S19" s="22"/>
      <c r="T19" s="179">
        <f t="shared" ref="T19:AH19" si="15">SUM(T4:T18)</f>
        <v>451</v>
      </c>
      <c r="U19" s="21">
        <f t="shared" si="15"/>
        <v>150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150</v>
      </c>
      <c r="AI19" s="18">
        <f>SUM(AI4:AI15)</f>
        <v>4</v>
      </c>
      <c r="AJ19" s="23">
        <f>AH19/AI19</f>
        <v>37.5</v>
      </c>
      <c r="AK19" s="78"/>
      <c r="AL19" s="24">
        <f>SUM(AL4:AL18)</f>
        <v>2851</v>
      </c>
      <c r="AM19" s="18">
        <f>SUM(AM4:AM18)</f>
        <v>84</v>
      </c>
      <c r="AN19" s="18">
        <f t="shared" ref="AN19" si="16">AL19/AM19</f>
        <v>33.94047619047619</v>
      </c>
      <c r="AO19" s="20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19 C19:S19 U19:AO19">
    <cfRule type="containsErrors" dxfId="16" priority="9">
      <formula>ISERROR(A19)</formula>
    </cfRule>
  </conditionalFormatting>
  <conditionalFormatting sqref="B4:B19 T4:T19">
    <cfRule type="cellIs" dxfId="15" priority="6" operator="equal">
      <formula>0</formula>
    </cfRule>
  </conditionalFormatting>
  <conditionalFormatting sqref="P4:S18 AH4:AO18 A4:A19 C19:S19">
    <cfRule type="cellIs" dxfId="14" priority="4" operator="equal">
      <formula>0</formula>
    </cfRule>
  </conditionalFormatting>
  <conditionalFormatting sqref="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zoomScale="110" zoomScaleNormal="110" workbookViewId="0">
      <selection activeCell="U5" sqref="U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1"/>
      <c r="AL1" s="305" t="s">
        <v>41</v>
      </c>
      <c r="AM1" s="305"/>
      <c r="AN1" s="305"/>
      <c r="AO1" s="306"/>
    </row>
    <row r="2" spans="1:41" ht="121.5" customHeight="1" thickBot="1" x14ac:dyDescent="0.35">
      <c r="A2" s="307" t="s">
        <v>34</v>
      </c>
      <c r="B2" s="309" t="s">
        <v>42</v>
      </c>
      <c r="C2" s="311" t="s">
        <v>76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110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08"/>
      <c r="B3" s="31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2"/>
      <c r="AI3" s="298"/>
      <c r="AJ3" s="300"/>
      <c r="AK3" s="76"/>
      <c r="AL3" s="302"/>
      <c r="AM3" s="298"/>
      <c r="AN3" s="298"/>
      <c r="AO3" s="300"/>
    </row>
    <row r="4" spans="1:41" s="10" customFormat="1" ht="20.100000000000001" customHeight="1" x14ac:dyDescent="0.3">
      <c r="A4" s="177" t="s">
        <v>176</v>
      </c>
      <c r="B4" s="137">
        <v>43</v>
      </c>
      <c r="C4" s="160"/>
      <c r="D4" s="161">
        <v>38</v>
      </c>
      <c r="E4" s="161"/>
      <c r="F4" s="161"/>
      <c r="G4" s="161"/>
      <c r="H4" s="161"/>
      <c r="I4" s="161"/>
      <c r="J4" s="161"/>
      <c r="K4" s="161"/>
      <c r="L4" s="161"/>
      <c r="M4" s="161"/>
      <c r="N4" s="161">
        <v>62</v>
      </c>
      <c r="O4" s="162"/>
      <c r="P4" s="9">
        <f>SUM(C4:O4)</f>
        <v>100</v>
      </c>
      <c r="Q4" s="8">
        <f>COUNTIF(C4:O4,"&gt;0")</f>
        <v>2</v>
      </c>
      <c r="R4" s="8">
        <f>IF(P4=0," ",P4/Q4)</f>
        <v>50</v>
      </c>
      <c r="S4" s="94">
        <f t="shared" ref="S4" si="0">IF(P4=0," ",P4/(Q4*T4)*100)</f>
        <v>116.27906976744187</v>
      </c>
      <c r="T4" s="70">
        <v>43</v>
      </c>
      <c r="U4" s="160">
        <v>52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52</v>
      </c>
      <c r="AI4" s="8">
        <f>COUNTIF(U4:AG4,"&gt;0")</f>
        <v>1</v>
      </c>
      <c r="AJ4" s="94">
        <f>IF(AH4=0," ",AH4/AI4)</f>
        <v>52</v>
      </c>
      <c r="AK4" s="77"/>
      <c r="AL4" s="122">
        <f t="shared" ref="AL4" si="1">P4+AH4</f>
        <v>152</v>
      </c>
      <c r="AM4" s="123">
        <f t="shared" ref="AM4" si="2">Q4+AI4</f>
        <v>3</v>
      </c>
      <c r="AN4" s="8">
        <f>IF(AL4=0," ",AL4/AM4)</f>
        <v>50.666666666666664</v>
      </c>
      <c r="AO4" s="94">
        <f>IF(AL4=0," ",AL4/(AM4*T4)*100)</f>
        <v>117.8294573643411</v>
      </c>
    </row>
    <row r="5" spans="1:41" s="10" customFormat="1" ht="20.100000000000001" customHeight="1" x14ac:dyDescent="0.3">
      <c r="A5" s="26" t="s">
        <v>177</v>
      </c>
      <c r="B5" s="70">
        <v>28</v>
      </c>
      <c r="C5" s="163">
        <v>29</v>
      </c>
      <c r="D5" s="164">
        <v>50</v>
      </c>
      <c r="E5" s="273">
        <v>30</v>
      </c>
      <c r="F5" s="164">
        <v>33</v>
      </c>
      <c r="G5" s="164"/>
      <c r="H5" s="272">
        <v>31</v>
      </c>
      <c r="I5" s="164">
        <v>15</v>
      </c>
      <c r="J5" s="164">
        <v>20</v>
      </c>
      <c r="K5" s="164">
        <v>41</v>
      </c>
      <c r="L5" s="164">
        <v>24</v>
      </c>
      <c r="M5" s="164">
        <v>34</v>
      </c>
      <c r="N5" s="164">
        <v>19</v>
      </c>
      <c r="O5" s="165"/>
      <c r="P5" s="13">
        <f t="shared" ref="P5:P18" si="3">SUM(C5:O5)</f>
        <v>326</v>
      </c>
      <c r="Q5" s="11">
        <f t="shared" ref="Q5:Q18" si="4">COUNTIF(C5:O5,"&gt;0")</f>
        <v>11</v>
      </c>
      <c r="R5" s="11">
        <f t="shared" ref="R5:R18" si="5">IF(P5=0," ",P5/Q5)</f>
        <v>29.636363636363637</v>
      </c>
      <c r="S5" s="12">
        <f t="shared" ref="S5:S18" si="6">IF(P5=0," ",P5/(Q5*T5)*100)</f>
        <v>105.84415584415585</v>
      </c>
      <c r="T5" s="70">
        <v>28</v>
      </c>
      <c r="U5" s="163">
        <v>20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20</v>
      </c>
      <c r="AI5" s="11">
        <f t="shared" ref="AI5:AI18" si="8">COUNTIF(U5:AG5,"&gt;0")</f>
        <v>1</v>
      </c>
      <c r="AJ5" s="12">
        <f t="shared" ref="AJ5:AJ18" si="9">IF(AH5=0," ",AH5/AI5)</f>
        <v>20</v>
      </c>
      <c r="AK5" s="77"/>
      <c r="AL5" s="124">
        <f t="shared" ref="AL5:AL18" si="10">P5+AH5</f>
        <v>346</v>
      </c>
      <c r="AM5" s="95">
        <f t="shared" ref="AM5:AM18" si="11">Q5+AI5</f>
        <v>12</v>
      </c>
      <c r="AN5" s="11">
        <f t="shared" ref="AN5:AN18" si="12">IF(AL5=0," ",AL5/AM5)</f>
        <v>28.833333333333332</v>
      </c>
      <c r="AO5" s="12">
        <f t="shared" ref="AO5:AO18" si="13">IF(AL5=0," ",AL5/(AM5*T5)*100)</f>
        <v>102.97619047619047</v>
      </c>
    </row>
    <row r="6" spans="1:41" s="10" customFormat="1" ht="20.100000000000001" customHeight="1" x14ac:dyDescent="0.3">
      <c r="A6" s="26" t="s">
        <v>178</v>
      </c>
      <c r="B6" s="70">
        <v>42</v>
      </c>
      <c r="C6" s="163">
        <v>38</v>
      </c>
      <c r="D6" s="273">
        <v>49</v>
      </c>
      <c r="E6" s="273">
        <v>18</v>
      </c>
      <c r="F6" s="164">
        <v>35</v>
      </c>
      <c r="G6" s="164">
        <v>51</v>
      </c>
      <c r="H6" s="272">
        <v>44</v>
      </c>
      <c r="I6" s="164">
        <v>22</v>
      </c>
      <c r="J6" s="164">
        <v>49</v>
      </c>
      <c r="K6" s="164"/>
      <c r="L6" s="164">
        <v>37</v>
      </c>
      <c r="M6" s="164">
        <v>43</v>
      </c>
      <c r="N6" s="164"/>
      <c r="O6" s="165">
        <v>56</v>
      </c>
      <c r="P6" s="13">
        <f>SUM(C6:O6)</f>
        <v>442</v>
      </c>
      <c r="Q6" s="11">
        <f>COUNTIF(C6:O6,"&gt;0")</f>
        <v>11</v>
      </c>
      <c r="R6" s="11">
        <f t="shared" si="5"/>
        <v>40.18181818181818</v>
      </c>
      <c r="S6" s="12">
        <f t="shared" si="6"/>
        <v>95.67099567099568</v>
      </c>
      <c r="T6" s="70">
        <v>42</v>
      </c>
      <c r="U6" s="163">
        <v>26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26</v>
      </c>
      <c r="AI6" s="11">
        <f t="shared" si="8"/>
        <v>1</v>
      </c>
      <c r="AJ6" s="12">
        <f t="shared" si="9"/>
        <v>26</v>
      </c>
      <c r="AK6" s="77"/>
      <c r="AL6" s="124">
        <f t="shared" si="10"/>
        <v>468</v>
      </c>
      <c r="AM6" s="95">
        <f t="shared" si="11"/>
        <v>12</v>
      </c>
      <c r="AN6" s="11">
        <f t="shared" si="12"/>
        <v>39</v>
      </c>
      <c r="AO6" s="12">
        <f t="shared" si="13"/>
        <v>92.857142857142861</v>
      </c>
    </row>
    <row r="7" spans="1:41" s="10" customFormat="1" ht="20.100000000000001" customHeight="1" x14ac:dyDescent="0.3">
      <c r="A7" s="26" t="s">
        <v>179</v>
      </c>
      <c r="B7" s="70">
        <v>40</v>
      </c>
      <c r="C7" s="163">
        <v>51</v>
      </c>
      <c r="D7" s="164">
        <v>33</v>
      </c>
      <c r="E7" s="164"/>
      <c r="F7" s="164">
        <v>33</v>
      </c>
      <c r="G7" s="164">
        <v>63</v>
      </c>
      <c r="H7" s="272">
        <v>65</v>
      </c>
      <c r="I7" s="272">
        <v>52</v>
      </c>
      <c r="J7" s="164">
        <v>40</v>
      </c>
      <c r="K7" s="164">
        <v>40</v>
      </c>
      <c r="L7" s="164">
        <v>53</v>
      </c>
      <c r="M7" s="164">
        <v>43</v>
      </c>
      <c r="N7" s="164">
        <v>67</v>
      </c>
      <c r="O7" s="165">
        <v>56</v>
      </c>
      <c r="P7" s="13">
        <f t="shared" si="3"/>
        <v>596</v>
      </c>
      <c r="Q7" s="11">
        <f t="shared" si="4"/>
        <v>12</v>
      </c>
      <c r="R7" s="11">
        <f t="shared" si="5"/>
        <v>49.666666666666664</v>
      </c>
      <c r="S7" s="12">
        <f t="shared" si="6"/>
        <v>124.16666666666667</v>
      </c>
      <c r="T7" s="70">
        <v>40</v>
      </c>
      <c r="U7" s="163">
        <v>28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28</v>
      </c>
      <c r="AI7" s="11">
        <f t="shared" si="8"/>
        <v>1</v>
      </c>
      <c r="AJ7" s="12">
        <f t="shared" si="9"/>
        <v>28</v>
      </c>
      <c r="AK7" s="77"/>
      <c r="AL7" s="124">
        <f t="shared" si="10"/>
        <v>624</v>
      </c>
      <c r="AM7" s="95">
        <f t="shared" si="11"/>
        <v>13</v>
      </c>
      <c r="AN7" s="11">
        <f t="shared" si="12"/>
        <v>48</v>
      </c>
      <c r="AO7" s="12">
        <f t="shared" si="13"/>
        <v>120</v>
      </c>
    </row>
    <row r="8" spans="1:41" s="10" customFormat="1" ht="20.100000000000001" customHeight="1" x14ac:dyDescent="0.3">
      <c r="A8" s="26" t="s">
        <v>180</v>
      </c>
      <c r="B8" s="70">
        <v>32</v>
      </c>
      <c r="C8" s="163">
        <v>30</v>
      </c>
      <c r="D8" s="164"/>
      <c r="E8" s="164"/>
      <c r="F8" s="164"/>
      <c r="G8" s="164">
        <v>50</v>
      </c>
      <c r="H8" s="164"/>
      <c r="I8" s="164">
        <v>28</v>
      </c>
      <c r="J8" s="164"/>
      <c r="K8" s="164">
        <v>53</v>
      </c>
      <c r="L8" s="164"/>
      <c r="M8" s="164"/>
      <c r="N8" s="164"/>
      <c r="O8" s="165">
        <v>48</v>
      </c>
      <c r="P8" s="13">
        <f t="shared" si="3"/>
        <v>209</v>
      </c>
      <c r="Q8" s="11">
        <f t="shared" si="4"/>
        <v>5</v>
      </c>
      <c r="R8" s="11">
        <f t="shared" si="5"/>
        <v>41.8</v>
      </c>
      <c r="S8" s="12">
        <f t="shared" si="6"/>
        <v>130.625</v>
      </c>
      <c r="T8" s="70">
        <v>32</v>
      </c>
      <c r="U8" s="163">
        <v>35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35</v>
      </c>
      <c r="AI8" s="11">
        <f t="shared" si="8"/>
        <v>1</v>
      </c>
      <c r="AJ8" s="12">
        <f t="shared" si="9"/>
        <v>35</v>
      </c>
      <c r="AK8" s="77"/>
      <c r="AL8" s="124">
        <f t="shared" si="10"/>
        <v>244</v>
      </c>
      <c r="AM8" s="95">
        <f t="shared" si="11"/>
        <v>6</v>
      </c>
      <c r="AN8" s="11">
        <f t="shared" si="12"/>
        <v>40.666666666666664</v>
      </c>
      <c r="AO8" s="12">
        <f t="shared" si="13"/>
        <v>127.08333333333333</v>
      </c>
    </row>
    <row r="9" spans="1:41" s="10" customFormat="1" ht="20.100000000000001" customHeight="1" x14ac:dyDescent="0.3">
      <c r="A9" s="26" t="s">
        <v>181</v>
      </c>
      <c r="B9" s="70">
        <v>15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361</v>
      </c>
      <c r="B10" s="131">
        <v>43</v>
      </c>
      <c r="C10" s="163">
        <v>27</v>
      </c>
      <c r="D10" s="164"/>
      <c r="E10" s="164"/>
      <c r="F10" s="164">
        <v>47</v>
      </c>
      <c r="G10" s="164"/>
      <c r="H10" s="164"/>
      <c r="I10" s="164">
        <v>54</v>
      </c>
      <c r="J10" s="164">
        <v>49</v>
      </c>
      <c r="K10" s="164"/>
      <c r="L10" s="164">
        <v>20</v>
      </c>
      <c r="M10" s="164"/>
      <c r="N10" s="164"/>
      <c r="O10" s="165"/>
      <c r="P10" s="13">
        <f t="shared" si="3"/>
        <v>197</v>
      </c>
      <c r="Q10" s="11">
        <f t="shared" si="4"/>
        <v>5</v>
      </c>
      <c r="R10" s="11">
        <f t="shared" si="5"/>
        <v>39.4</v>
      </c>
      <c r="S10" s="12">
        <f t="shared" si="6"/>
        <v>101.02564102564102</v>
      </c>
      <c r="T10" s="276">
        <v>39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197</v>
      </c>
      <c r="AM10" s="95">
        <f t="shared" si="11"/>
        <v>5</v>
      </c>
      <c r="AN10" s="11">
        <f t="shared" si="12"/>
        <v>39.4</v>
      </c>
      <c r="AO10" s="12">
        <f t="shared" si="13"/>
        <v>101.02564102564102</v>
      </c>
    </row>
    <row r="11" spans="1:41" s="10" customFormat="1" ht="20.100000000000001" customHeight="1" x14ac:dyDescent="0.3">
      <c r="A11" s="26" t="s">
        <v>351</v>
      </c>
      <c r="B11" s="131">
        <v>35</v>
      </c>
      <c r="C11" s="163"/>
      <c r="D11" s="164">
        <v>24</v>
      </c>
      <c r="E11" s="164"/>
      <c r="F11" s="164">
        <v>49</v>
      </c>
      <c r="G11" s="164">
        <v>32</v>
      </c>
      <c r="H11" s="272">
        <v>68</v>
      </c>
      <c r="I11" s="164">
        <v>40</v>
      </c>
      <c r="J11" s="164"/>
      <c r="K11" s="164">
        <v>40</v>
      </c>
      <c r="L11" s="164">
        <v>24</v>
      </c>
      <c r="M11" s="164"/>
      <c r="N11" s="164">
        <v>62</v>
      </c>
      <c r="O11" s="165">
        <v>50</v>
      </c>
      <c r="P11" s="13">
        <f t="shared" si="3"/>
        <v>389</v>
      </c>
      <c r="Q11" s="11">
        <f t="shared" si="4"/>
        <v>9</v>
      </c>
      <c r="R11" s="11">
        <f t="shared" si="5"/>
        <v>43.222222222222221</v>
      </c>
      <c r="S11" s="12">
        <f t="shared" si="6"/>
        <v>100.51679586563307</v>
      </c>
      <c r="T11" s="276">
        <v>43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389</v>
      </c>
      <c r="AM11" s="95">
        <f t="shared" si="11"/>
        <v>9</v>
      </c>
      <c r="AN11" s="11">
        <f t="shared" si="12"/>
        <v>43.222222222222221</v>
      </c>
      <c r="AO11" s="12">
        <f t="shared" si="13"/>
        <v>100.51679586563307</v>
      </c>
    </row>
    <row r="12" spans="1:41" s="10" customFormat="1" ht="20.100000000000001" customHeight="1" x14ac:dyDescent="0.3">
      <c r="A12" s="69" t="s">
        <v>182</v>
      </c>
      <c r="B12" s="70">
        <v>109</v>
      </c>
      <c r="C12" s="163"/>
      <c r="D12" s="164"/>
      <c r="E12" s="164"/>
      <c r="F12" s="164"/>
      <c r="G12" s="164">
        <v>143</v>
      </c>
      <c r="H12" s="164"/>
      <c r="I12" s="164"/>
      <c r="J12" s="164"/>
      <c r="K12" s="164"/>
      <c r="L12" s="164"/>
      <c r="M12" s="164">
        <v>190</v>
      </c>
      <c r="N12" s="164"/>
      <c r="O12" s="165"/>
      <c r="P12" s="13">
        <f t="shared" si="3"/>
        <v>333</v>
      </c>
      <c r="Q12" s="11">
        <f t="shared" si="4"/>
        <v>2</v>
      </c>
      <c r="R12" s="11">
        <f t="shared" si="5"/>
        <v>166.5</v>
      </c>
      <c r="S12" s="12">
        <f t="shared" si="6"/>
        <v>152.75229357798165</v>
      </c>
      <c r="T12" s="70">
        <v>109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333</v>
      </c>
      <c r="AM12" s="95">
        <f t="shared" si="11"/>
        <v>2</v>
      </c>
      <c r="AN12" s="11">
        <f t="shared" si="12"/>
        <v>166.5</v>
      </c>
      <c r="AO12" s="12">
        <f t="shared" si="13"/>
        <v>152.75229357798165</v>
      </c>
    </row>
    <row r="13" spans="1:41" s="10" customFormat="1" ht="20.100000000000001" customHeight="1" x14ac:dyDescent="0.3">
      <c r="A13" s="26" t="s">
        <v>183</v>
      </c>
      <c r="B13" s="70">
        <v>45</v>
      </c>
      <c r="C13" s="163"/>
      <c r="D13" s="164">
        <v>67</v>
      </c>
      <c r="E13" s="273">
        <v>55</v>
      </c>
      <c r="F13" s="164"/>
      <c r="G13" s="164"/>
      <c r="H13" s="272">
        <v>69</v>
      </c>
      <c r="I13" s="164">
        <v>39</v>
      </c>
      <c r="J13" s="164">
        <v>50</v>
      </c>
      <c r="K13" s="164">
        <v>53</v>
      </c>
      <c r="L13" s="164">
        <v>29</v>
      </c>
      <c r="M13" s="164">
        <v>39</v>
      </c>
      <c r="N13" s="164">
        <v>42</v>
      </c>
      <c r="O13" s="165">
        <v>47</v>
      </c>
      <c r="P13" s="13">
        <f t="shared" si="3"/>
        <v>490</v>
      </c>
      <c r="Q13" s="11">
        <f t="shared" si="4"/>
        <v>10</v>
      </c>
      <c r="R13" s="11">
        <f t="shared" si="5"/>
        <v>49</v>
      </c>
      <c r="S13" s="12">
        <f t="shared" si="6"/>
        <v>108.88888888888889</v>
      </c>
      <c r="T13" s="70">
        <v>45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490</v>
      </c>
      <c r="AM13" s="95">
        <f t="shared" si="11"/>
        <v>10</v>
      </c>
      <c r="AN13" s="11">
        <f t="shared" si="12"/>
        <v>49</v>
      </c>
      <c r="AO13" s="12">
        <f t="shared" si="13"/>
        <v>108.88888888888889</v>
      </c>
    </row>
    <row r="14" spans="1:41" s="10" customFormat="1" ht="20.100000000000001" customHeight="1" x14ac:dyDescent="0.3">
      <c r="A14" s="26" t="s">
        <v>184</v>
      </c>
      <c r="B14" s="70">
        <v>35</v>
      </c>
      <c r="C14" s="163">
        <v>34</v>
      </c>
      <c r="D14" s="164"/>
      <c r="E14" s="273">
        <v>36</v>
      </c>
      <c r="F14" s="164">
        <v>19</v>
      </c>
      <c r="G14" s="164">
        <v>37</v>
      </c>
      <c r="H14" s="164"/>
      <c r="I14" s="164"/>
      <c r="J14" s="164">
        <v>23</v>
      </c>
      <c r="K14" s="164">
        <v>32</v>
      </c>
      <c r="L14" s="164"/>
      <c r="M14" s="164">
        <v>35</v>
      </c>
      <c r="N14" s="164"/>
      <c r="O14" s="165">
        <v>53</v>
      </c>
      <c r="P14" s="13">
        <f t="shared" si="3"/>
        <v>269</v>
      </c>
      <c r="Q14" s="11">
        <f t="shared" si="4"/>
        <v>8</v>
      </c>
      <c r="R14" s="11">
        <f t="shared" si="5"/>
        <v>33.625</v>
      </c>
      <c r="S14" s="12">
        <f t="shared" si="6"/>
        <v>96.071428571428569</v>
      </c>
      <c r="T14" s="70">
        <v>35</v>
      </c>
      <c r="U14" s="163">
        <v>25</v>
      </c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25</v>
      </c>
      <c r="AI14" s="11">
        <f t="shared" si="8"/>
        <v>1</v>
      </c>
      <c r="AJ14" s="12">
        <f t="shared" si="9"/>
        <v>25</v>
      </c>
      <c r="AK14" s="77"/>
      <c r="AL14" s="124">
        <f t="shared" si="10"/>
        <v>294</v>
      </c>
      <c r="AM14" s="95">
        <f t="shared" si="11"/>
        <v>9</v>
      </c>
      <c r="AN14" s="11">
        <f t="shared" si="12"/>
        <v>32.666666666666664</v>
      </c>
      <c r="AO14" s="12">
        <f t="shared" si="13"/>
        <v>93.333333333333329</v>
      </c>
    </row>
    <row r="15" spans="1:41" s="10" customFormat="1" ht="20.100000000000001" customHeight="1" x14ac:dyDescent="0.3">
      <c r="A15" s="26" t="s">
        <v>185</v>
      </c>
      <c r="B15" s="70">
        <v>50</v>
      </c>
      <c r="C15" s="163"/>
      <c r="D15" s="164">
        <v>45</v>
      </c>
      <c r="E15" s="273">
        <v>79</v>
      </c>
      <c r="F15" s="164"/>
      <c r="G15" s="164"/>
      <c r="H15" s="164"/>
      <c r="I15" s="164"/>
      <c r="J15" s="164"/>
      <c r="K15" s="164"/>
      <c r="L15" s="164"/>
      <c r="M15" s="164"/>
      <c r="N15" s="164">
        <v>52</v>
      </c>
      <c r="O15" s="165"/>
      <c r="P15" s="13">
        <f t="shared" si="3"/>
        <v>176</v>
      </c>
      <c r="Q15" s="11">
        <f t="shared" si="4"/>
        <v>3</v>
      </c>
      <c r="R15" s="11">
        <f t="shared" si="5"/>
        <v>58.666666666666664</v>
      </c>
      <c r="S15" s="12">
        <f t="shared" si="6"/>
        <v>117.33333333333333</v>
      </c>
      <c r="T15" s="70">
        <v>50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176</v>
      </c>
      <c r="AM15" s="95">
        <f t="shared" si="11"/>
        <v>3</v>
      </c>
      <c r="AN15" s="11">
        <f t="shared" si="12"/>
        <v>58.666666666666664</v>
      </c>
      <c r="AO15" s="12">
        <f t="shared" si="13"/>
        <v>117.33333333333333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231</v>
      </c>
      <c r="K19" s="19">
        <f t="shared" si="15"/>
        <v>259</v>
      </c>
      <c r="L19" s="19">
        <f t="shared" si="15"/>
        <v>187</v>
      </c>
      <c r="M19" s="19">
        <f t="shared" si="15"/>
        <v>384</v>
      </c>
      <c r="N19" s="19">
        <f>SUM(N4:N18)</f>
        <v>304</v>
      </c>
      <c r="O19" s="19">
        <f>SUM(O4:O18)</f>
        <v>310</v>
      </c>
      <c r="P19" s="19">
        <f t="shared" si="15"/>
        <v>3527</v>
      </c>
      <c r="Q19" s="19">
        <f t="shared" si="15"/>
        <v>78</v>
      </c>
      <c r="R19" s="19">
        <f>P19/Q19</f>
        <v>45.217948717948715</v>
      </c>
      <c r="S19" s="22"/>
      <c r="T19" s="179">
        <f>SUM(T4:T18)</f>
        <v>521</v>
      </c>
      <c r="U19" s="21">
        <f>SUM(U4:U18)</f>
        <v>186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186</v>
      </c>
      <c r="AI19" s="18">
        <f>SUM(AI4:AI18)</f>
        <v>6</v>
      </c>
      <c r="AJ19" s="23">
        <f>AH19/AI19</f>
        <v>31</v>
      </c>
      <c r="AK19" s="78"/>
      <c r="AL19" s="24">
        <f>SUM(AL4:AL18)</f>
        <v>3713</v>
      </c>
      <c r="AM19" s="18">
        <f>SUM(AM4:AM18)</f>
        <v>84</v>
      </c>
      <c r="AN19" s="18">
        <f t="shared" ref="AN19" si="18">AL19/AM19</f>
        <v>44.202380952380949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topLeftCell="A2" zoomScale="145" zoomScaleNormal="145" workbookViewId="0">
      <selection activeCell="AA10" sqref="AA10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3" t="s">
        <v>282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1"/>
      <c r="AL1" s="305" t="s">
        <v>41</v>
      </c>
      <c r="AM1" s="305"/>
      <c r="AN1" s="305"/>
      <c r="AO1" s="306"/>
    </row>
    <row r="2" spans="1:41" ht="121.5" customHeight="1" thickBot="1" x14ac:dyDescent="0.35">
      <c r="A2" s="307" t="s">
        <v>296</v>
      </c>
      <c r="B2" s="309" t="s">
        <v>42</v>
      </c>
      <c r="C2" s="311" t="s">
        <v>166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3"/>
      <c r="P2" s="314" t="s">
        <v>44</v>
      </c>
      <c r="Q2" s="316" t="s">
        <v>45</v>
      </c>
      <c r="R2" s="316" t="s">
        <v>46</v>
      </c>
      <c r="S2" s="318" t="s">
        <v>283</v>
      </c>
      <c r="T2" s="320" t="s">
        <v>47</v>
      </c>
      <c r="U2" s="311" t="s">
        <v>128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301" t="s">
        <v>44</v>
      </c>
      <c r="AI2" s="297" t="s">
        <v>45</v>
      </c>
      <c r="AJ2" s="299" t="s">
        <v>49</v>
      </c>
      <c r="AK2" s="75"/>
      <c r="AL2" s="301" t="s">
        <v>44</v>
      </c>
      <c r="AM2" s="297" t="s">
        <v>45</v>
      </c>
      <c r="AN2" s="297" t="s">
        <v>50</v>
      </c>
      <c r="AO2" s="299" t="s">
        <v>283</v>
      </c>
    </row>
    <row r="3" spans="1:41" ht="15" customHeight="1" thickBot="1" x14ac:dyDescent="0.35">
      <c r="A3" s="308"/>
      <c r="B3" s="31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5"/>
      <c r="Q3" s="317"/>
      <c r="R3" s="317"/>
      <c r="S3" s="319"/>
      <c r="T3" s="32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2"/>
      <c r="AI3" s="298"/>
      <c r="AJ3" s="300"/>
      <c r="AK3" s="76"/>
      <c r="AL3" s="302"/>
      <c r="AM3" s="298"/>
      <c r="AN3" s="298"/>
      <c r="AO3" s="300"/>
    </row>
    <row r="4" spans="1:41" s="10" customFormat="1" ht="20.100000000000001" customHeight="1" x14ac:dyDescent="0.3">
      <c r="A4" s="177" t="s">
        <v>186</v>
      </c>
      <c r="B4" s="137">
        <v>29</v>
      </c>
      <c r="C4" s="160">
        <v>21</v>
      </c>
      <c r="D4" s="161"/>
      <c r="E4" s="161">
        <v>24</v>
      </c>
      <c r="F4" s="161"/>
      <c r="G4" s="161"/>
      <c r="H4" s="161">
        <v>31</v>
      </c>
      <c r="I4" s="161">
        <v>29</v>
      </c>
      <c r="J4" s="161">
        <v>27</v>
      </c>
      <c r="K4" s="161">
        <v>37</v>
      </c>
      <c r="L4" s="161"/>
      <c r="M4" s="161">
        <v>32</v>
      </c>
      <c r="N4" s="161"/>
      <c r="O4" s="162"/>
      <c r="P4" s="9">
        <f>SUM(C4:O4)</f>
        <v>201</v>
      </c>
      <c r="Q4" s="8">
        <f>COUNTIF(C4:O4,"&gt;0")</f>
        <v>7</v>
      </c>
      <c r="R4" s="8">
        <f>IF(P4=0," ",P4/Q4)</f>
        <v>28.714285714285715</v>
      </c>
      <c r="S4" s="94">
        <f t="shared" ref="S4:S18" si="0">IF(P4=0," ",P4/(Q4*T4)*100)</f>
        <v>99.01477832512316</v>
      </c>
      <c r="T4" s="137">
        <v>29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18" si="1">P4+AH4</f>
        <v>201</v>
      </c>
      <c r="AM4" s="123">
        <f t="shared" si="1"/>
        <v>7</v>
      </c>
      <c r="AN4" s="8">
        <f>IF(AL4=0," ",AL4/AM4)</f>
        <v>28.714285714285715</v>
      </c>
      <c r="AO4" s="94">
        <f>IF(AL4=0," ",AL4/(AM4*T4)*100)</f>
        <v>99.01477832512316</v>
      </c>
    </row>
    <row r="5" spans="1:41" s="10" customFormat="1" ht="20.100000000000001" customHeight="1" x14ac:dyDescent="0.3">
      <c r="A5" s="69" t="s">
        <v>187</v>
      </c>
      <c r="B5" s="70">
        <v>36</v>
      </c>
      <c r="C5" s="163">
        <v>33</v>
      </c>
      <c r="D5" s="164"/>
      <c r="E5" s="164">
        <v>47</v>
      </c>
      <c r="F5" s="164">
        <v>53</v>
      </c>
      <c r="G5" s="164"/>
      <c r="H5" s="164">
        <v>52</v>
      </c>
      <c r="I5" s="164"/>
      <c r="J5" s="164"/>
      <c r="K5" s="164"/>
      <c r="L5" s="164"/>
      <c r="M5" s="164">
        <v>31</v>
      </c>
      <c r="N5" s="164">
        <v>54</v>
      </c>
      <c r="O5" s="165">
        <v>37</v>
      </c>
      <c r="P5" s="13">
        <f t="shared" ref="P5:P18" si="2">SUM(C5:O5)</f>
        <v>307</v>
      </c>
      <c r="Q5" s="11">
        <f t="shared" ref="Q5:Q18" si="3">COUNTIF(C5:O5,"&gt;0")</f>
        <v>7</v>
      </c>
      <c r="R5" s="11">
        <f t="shared" ref="R5:R18" si="4">IF(P5=0," ",P5/Q5)</f>
        <v>43.857142857142854</v>
      </c>
      <c r="S5" s="12">
        <f t="shared" si="0"/>
        <v>121.82539682539681</v>
      </c>
      <c r="T5" s="70">
        <v>36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si="1"/>
        <v>307</v>
      </c>
      <c r="AM5" s="95">
        <f t="shared" si="1"/>
        <v>7</v>
      </c>
      <c r="AN5" s="11">
        <f t="shared" ref="AN5:AN18" si="8">IF(AL5=0," ",AL5/AM5)</f>
        <v>43.857142857142854</v>
      </c>
      <c r="AO5" s="12">
        <f t="shared" ref="AO5:AO18" si="9">IF(AL5=0," ",AL5/(AM5*T5)*100)</f>
        <v>121.82539682539681</v>
      </c>
    </row>
    <row r="6" spans="1:41" s="10" customFormat="1" ht="20.100000000000001" customHeight="1" x14ac:dyDescent="0.3">
      <c r="A6" s="26" t="s">
        <v>188</v>
      </c>
      <c r="B6" s="70">
        <v>46</v>
      </c>
      <c r="C6" s="163"/>
      <c r="D6" s="164">
        <v>31</v>
      </c>
      <c r="E6" s="164"/>
      <c r="F6" s="164">
        <v>36</v>
      </c>
      <c r="G6" s="164"/>
      <c r="H6" s="164">
        <v>32</v>
      </c>
      <c r="I6" s="164">
        <v>49</v>
      </c>
      <c r="J6" s="164">
        <v>51</v>
      </c>
      <c r="K6" s="164">
        <v>31</v>
      </c>
      <c r="L6" s="164">
        <v>35</v>
      </c>
      <c r="M6" s="164">
        <v>52</v>
      </c>
      <c r="N6" s="164"/>
      <c r="O6" s="165">
        <v>58</v>
      </c>
      <c r="P6" s="13">
        <f t="shared" si="2"/>
        <v>375</v>
      </c>
      <c r="Q6" s="11">
        <f t="shared" si="3"/>
        <v>9</v>
      </c>
      <c r="R6" s="11">
        <f t="shared" si="4"/>
        <v>41.666666666666664</v>
      </c>
      <c r="S6" s="12">
        <f t="shared" si="0"/>
        <v>90.579710144927532</v>
      </c>
      <c r="T6" s="70">
        <v>46</v>
      </c>
      <c r="U6" s="163">
        <v>44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44</v>
      </c>
      <c r="AI6" s="11">
        <f t="shared" si="6"/>
        <v>1</v>
      </c>
      <c r="AJ6" s="12">
        <f t="shared" si="7"/>
        <v>44</v>
      </c>
      <c r="AK6" s="77"/>
      <c r="AL6" s="124">
        <f t="shared" si="1"/>
        <v>419</v>
      </c>
      <c r="AM6" s="95">
        <f t="shared" si="1"/>
        <v>10</v>
      </c>
      <c r="AN6" s="11">
        <f t="shared" si="8"/>
        <v>41.9</v>
      </c>
      <c r="AO6" s="12">
        <f t="shared" si="9"/>
        <v>91.086956521739125</v>
      </c>
    </row>
    <row r="7" spans="1:41" s="10" customFormat="1" ht="20.100000000000001" customHeight="1" x14ac:dyDescent="0.3">
      <c r="A7" s="26" t="s">
        <v>189</v>
      </c>
      <c r="B7" s="70">
        <v>33</v>
      </c>
      <c r="C7" s="163">
        <v>29</v>
      </c>
      <c r="D7" s="164"/>
      <c r="E7" s="164"/>
      <c r="F7" s="164">
        <v>37</v>
      </c>
      <c r="G7" s="164">
        <v>35</v>
      </c>
      <c r="H7" s="164"/>
      <c r="I7" s="164"/>
      <c r="J7" s="164"/>
      <c r="K7" s="164">
        <v>26</v>
      </c>
      <c r="L7" s="164">
        <v>35</v>
      </c>
      <c r="M7" s="164"/>
      <c r="N7" s="164">
        <v>44</v>
      </c>
      <c r="O7" s="165">
        <v>45</v>
      </c>
      <c r="P7" s="13">
        <f t="shared" si="2"/>
        <v>251</v>
      </c>
      <c r="Q7" s="11">
        <f t="shared" si="3"/>
        <v>7</v>
      </c>
      <c r="R7" s="11">
        <f t="shared" si="4"/>
        <v>35.857142857142854</v>
      </c>
      <c r="S7" s="12">
        <f t="shared" si="0"/>
        <v>108.65800865800865</v>
      </c>
      <c r="T7" s="70">
        <v>33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1"/>
        <v>251</v>
      </c>
      <c r="AM7" s="95">
        <f t="shared" si="1"/>
        <v>7</v>
      </c>
      <c r="AN7" s="11">
        <f t="shared" si="8"/>
        <v>35.857142857142854</v>
      </c>
      <c r="AO7" s="12">
        <f t="shared" si="9"/>
        <v>108.65800865800865</v>
      </c>
    </row>
    <row r="8" spans="1:41" s="10" customFormat="1" ht="20.100000000000001" customHeight="1" x14ac:dyDescent="0.3">
      <c r="A8" s="26" t="s">
        <v>190</v>
      </c>
      <c r="B8" s="70">
        <v>24</v>
      </c>
      <c r="C8" s="163"/>
      <c r="D8" s="164">
        <v>27</v>
      </c>
      <c r="E8" s="164">
        <v>13</v>
      </c>
      <c r="F8" s="164"/>
      <c r="G8" s="164">
        <v>24</v>
      </c>
      <c r="H8" s="164">
        <v>19</v>
      </c>
      <c r="I8" s="164"/>
      <c r="J8" s="164">
        <v>10</v>
      </c>
      <c r="K8" s="164">
        <v>6</v>
      </c>
      <c r="L8" s="164">
        <v>12</v>
      </c>
      <c r="M8" s="164">
        <v>41</v>
      </c>
      <c r="N8" s="164"/>
      <c r="O8" s="165">
        <v>16</v>
      </c>
      <c r="P8" s="13">
        <f t="shared" si="2"/>
        <v>168</v>
      </c>
      <c r="Q8" s="11">
        <f t="shared" si="3"/>
        <v>9</v>
      </c>
      <c r="R8" s="11">
        <f t="shared" si="4"/>
        <v>18.666666666666668</v>
      </c>
      <c r="S8" s="12">
        <f t="shared" si="0"/>
        <v>77.777777777777786</v>
      </c>
      <c r="T8" s="70">
        <v>24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1"/>
        <v>168</v>
      </c>
      <c r="AM8" s="95">
        <f t="shared" si="1"/>
        <v>9</v>
      </c>
      <c r="AN8" s="11">
        <f t="shared" si="8"/>
        <v>18.666666666666668</v>
      </c>
      <c r="AO8" s="12">
        <f t="shared" si="9"/>
        <v>77.777777777777786</v>
      </c>
    </row>
    <row r="9" spans="1:41" s="10" customFormat="1" ht="20.100000000000001" customHeight="1" x14ac:dyDescent="0.3">
      <c r="A9" s="26" t="s">
        <v>191</v>
      </c>
      <c r="B9" s="70">
        <v>23</v>
      </c>
      <c r="C9" s="163">
        <v>19</v>
      </c>
      <c r="D9" s="164"/>
      <c r="E9" s="164">
        <v>24</v>
      </c>
      <c r="F9" s="164">
        <v>28</v>
      </c>
      <c r="G9" s="164">
        <v>15</v>
      </c>
      <c r="H9" s="164">
        <v>18</v>
      </c>
      <c r="I9" s="164">
        <v>29</v>
      </c>
      <c r="J9" s="164"/>
      <c r="K9" s="164"/>
      <c r="L9" s="164">
        <v>15</v>
      </c>
      <c r="M9" s="164"/>
      <c r="N9" s="164">
        <v>23</v>
      </c>
      <c r="O9" s="165"/>
      <c r="P9" s="13">
        <f t="shared" si="2"/>
        <v>171</v>
      </c>
      <c r="Q9" s="11">
        <f t="shared" si="3"/>
        <v>8</v>
      </c>
      <c r="R9" s="11">
        <f t="shared" si="4"/>
        <v>21.375</v>
      </c>
      <c r="S9" s="12">
        <f t="shared" si="0"/>
        <v>92.934782608695656</v>
      </c>
      <c r="T9" s="70">
        <v>23</v>
      </c>
      <c r="U9" s="163">
        <v>25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25</v>
      </c>
      <c r="AI9" s="11">
        <f t="shared" si="6"/>
        <v>1</v>
      </c>
      <c r="AJ9" s="12">
        <f t="shared" si="7"/>
        <v>25</v>
      </c>
      <c r="AK9" s="77"/>
      <c r="AL9" s="124">
        <f t="shared" si="1"/>
        <v>196</v>
      </c>
      <c r="AM9" s="95">
        <f t="shared" si="1"/>
        <v>9</v>
      </c>
      <c r="AN9" s="11">
        <f t="shared" si="8"/>
        <v>21.777777777777779</v>
      </c>
      <c r="AO9" s="12">
        <f t="shared" si="9"/>
        <v>94.685990338164245</v>
      </c>
    </row>
    <row r="10" spans="1:41" s="10" customFormat="1" ht="20.100000000000001" customHeight="1" x14ac:dyDescent="0.3">
      <c r="A10" s="26" t="s">
        <v>192</v>
      </c>
      <c r="B10" s="70">
        <v>26</v>
      </c>
      <c r="C10" s="163">
        <v>24</v>
      </c>
      <c r="D10" s="164">
        <v>24</v>
      </c>
      <c r="E10" s="164"/>
      <c r="F10" s="164">
        <v>34</v>
      </c>
      <c r="G10" s="164">
        <v>31</v>
      </c>
      <c r="H10" s="164"/>
      <c r="I10" s="164">
        <v>31</v>
      </c>
      <c r="J10" s="164">
        <v>24</v>
      </c>
      <c r="K10" s="164"/>
      <c r="L10" s="164">
        <v>47</v>
      </c>
      <c r="M10" s="164"/>
      <c r="N10" s="164">
        <v>30</v>
      </c>
      <c r="O10" s="165"/>
      <c r="P10" s="13">
        <f t="shared" si="2"/>
        <v>245</v>
      </c>
      <c r="Q10" s="11">
        <f t="shared" si="3"/>
        <v>8</v>
      </c>
      <c r="R10" s="11">
        <f t="shared" si="4"/>
        <v>30.625</v>
      </c>
      <c r="S10" s="12">
        <f t="shared" si="0"/>
        <v>117.78846153846155</v>
      </c>
      <c r="T10" s="70">
        <v>26</v>
      </c>
      <c r="U10" s="163">
        <v>28</v>
      </c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28</v>
      </c>
      <c r="AI10" s="11">
        <f t="shared" si="6"/>
        <v>1</v>
      </c>
      <c r="AJ10" s="12">
        <f t="shared" si="7"/>
        <v>28</v>
      </c>
      <c r="AK10" s="77"/>
      <c r="AL10" s="124">
        <f t="shared" si="1"/>
        <v>273</v>
      </c>
      <c r="AM10" s="95">
        <f t="shared" si="1"/>
        <v>9</v>
      </c>
      <c r="AN10" s="11">
        <f t="shared" si="8"/>
        <v>30.333333333333332</v>
      </c>
      <c r="AO10" s="12">
        <f t="shared" si="9"/>
        <v>116.66666666666667</v>
      </c>
    </row>
    <row r="11" spans="1:41" s="10" customFormat="1" ht="20.100000000000001" customHeight="1" x14ac:dyDescent="0.3">
      <c r="A11" s="26" t="s">
        <v>193</v>
      </c>
      <c r="B11" s="70">
        <v>44</v>
      </c>
      <c r="C11" s="163"/>
      <c r="D11" s="164">
        <v>30</v>
      </c>
      <c r="E11" s="164"/>
      <c r="F11" s="164"/>
      <c r="G11" s="164"/>
      <c r="H11" s="164"/>
      <c r="I11" s="164">
        <v>45</v>
      </c>
      <c r="J11" s="164">
        <v>13</v>
      </c>
      <c r="K11" s="164">
        <v>60</v>
      </c>
      <c r="L11" s="164">
        <v>31</v>
      </c>
      <c r="M11" s="164">
        <v>36</v>
      </c>
      <c r="N11" s="164"/>
      <c r="O11" s="165">
        <v>58</v>
      </c>
      <c r="P11" s="13">
        <f t="shared" si="2"/>
        <v>273</v>
      </c>
      <c r="Q11" s="11">
        <f t="shared" si="3"/>
        <v>7</v>
      </c>
      <c r="R11" s="11">
        <f t="shared" si="4"/>
        <v>39</v>
      </c>
      <c r="S11" s="12">
        <f t="shared" si="0"/>
        <v>88.63636363636364</v>
      </c>
      <c r="T11" s="70">
        <v>44</v>
      </c>
      <c r="U11" s="163">
        <v>57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57</v>
      </c>
      <c r="AI11" s="11">
        <f t="shared" si="6"/>
        <v>1</v>
      </c>
      <c r="AJ11" s="12">
        <f t="shared" si="7"/>
        <v>57</v>
      </c>
      <c r="AK11" s="77"/>
      <c r="AL11" s="124">
        <f t="shared" si="1"/>
        <v>330</v>
      </c>
      <c r="AM11" s="95">
        <f t="shared" si="1"/>
        <v>8</v>
      </c>
      <c r="AN11" s="11">
        <f t="shared" si="8"/>
        <v>41.25</v>
      </c>
      <c r="AO11" s="12">
        <f t="shared" si="9"/>
        <v>93.75</v>
      </c>
    </row>
    <row r="12" spans="1:41" s="10" customFormat="1" ht="20.100000000000001" customHeight="1" x14ac:dyDescent="0.3">
      <c r="A12" s="26" t="s">
        <v>194</v>
      </c>
      <c r="B12" s="70">
        <v>28</v>
      </c>
      <c r="C12" s="163">
        <v>23</v>
      </c>
      <c r="D12" s="164">
        <v>16</v>
      </c>
      <c r="E12" s="164">
        <v>25</v>
      </c>
      <c r="F12" s="164">
        <v>24</v>
      </c>
      <c r="G12" s="164">
        <v>31</v>
      </c>
      <c r="H12" s="164">
        <v>32</v>
      </c>
      <c r="I12" s="164"/>
      <c r="J12" s="164"/>
      <c r="K12" s="164">
        <v>31</v>
      </c>
      <c r="L12" s="164"/>
      <c r="M12" s="164">
        <v>26</v>
      </c>
      <c r="N12" s="164">
        <v>37</v>
      </c>
      <c r="O12" s="165"/>
      <c r="P12" s="13">
        <f t="shared" si="2"/>
        <v>245</v>
      </c>
      <c r="Q12" s="11">
        <f t="shared" si="3"/>
        <v>9</v>
      </c>
      <c r="R12" s="11">
        <f t="shared" si="4"/>
        <v>27.222222222222221</v>
      </c>
      <c r="S12" s="12">
        <f t="shared" si="0"/>
        <v>97.222222222222214</v>
      </c>
      <c r="T12" s="70">
        <v>28</v>
      </c>
      <c r="U12" s="163">
        <v>18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18</v>
      </c>
      <c r="AI12" s="11">
        <f t="shared" si="6"/>
        <v>1</v>
      </c>
      <c r="AJ12" s="12">
        <f t="shared" si="7"/>
        <v>18</v>
      </c>
      <c r="AK12" s="77"/>
      <c r="AL12" s="124">
        <f t="shared" si="1"/>
        <v>263</v>
      </c>
      <c r="AM12" s="95">
        <f t="shared" si="1"/>
        <v>10</v>
      </c>
      <c r="AN12" s="11">
        <f t="shared" si="8"/>
        <v>26.3</v>
      </c>
      <c r="AO12" s="12">
        <f t="shared" si="9"/>
        <v>93.928571428571431</v>
      </c>
    </row>
    <row r="13" spans="1:41" s="10" customFormat="1" ht="20.100000000000001" customHeight="1" x14ac:dyDescent="0.3">
      <c r="A13" s="26" t="s">
        <v>195</v>
      </c>
      <c r="B13" s="70">
        <v>34</v>
      </c>
      <c r="C13" s="163"/>
      <c r="D13" s="164">
        <v>48</v>
      </c>
      <c r="E13" s="164">
        <v>13</v>
      </c>
      <c r="F13" s="164"/>
      <c r="G13" s="164">
        <v>27</v>
      </c>
      <c r="H13" s="164"/>
      <c r="I13" s="164">
        <v>37</v>
      </c>
      <c r="J13" s="164">
        <v>33</v>
      </c>
      <c r="K13" s="164"/>
      <c r="L13" s="164"/>
      <c r="M13" s="164"/>
      <c r="N13" s="164">
        <v>39</v>
      </c>
      <c r="O13" s="165">
        <v>26</v>
      </c>
      <c r="P13" s="13">
        <f t="shared" si="2"/>
        <v>223</v>
      </c>
      <c r="Q13" s="11">
        <f t="shared" si="3"/>
        <v>7</v>
      </c>
      <c r="R13" s="11">
        <f t="shared" si="4"/>
        <v>31.857142857142858</v>
      </c>
      <c r="S13" s="12">
        <f t="shared" si="0"/>
        <v>93.69747899159664</v>
      </c>
      <c r="T13" s="70">
        <v>34</v>
      </c>
      <c r="U13" s="163">
        <v>23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23</v>
      </c>
      <c r="AI13" s="11">
        <f t="shared" si="6"/>
        <v>1</v>
      </c>
      <c r="AJ13" s="12">
        <f t="shared" si="7"/>
        <v>23</v>
      </c>
      <c r="AK13" s="77"/>
      <c r="AL13" s="124">
        <f t="shared" si="1"/>
        <v>246</v>
      </c>
      <c r="AM13" s="95">
        <f t="shared" si="1"/>
        <v>8</v>
      </c>
      <c r="AN13" s="11">
        <f t="shared" si="8"/>
        <v>30.75</v>
      </c>
      <c r="AO13" s="12">
        <f t="shared" si="9"/>
        <v>90.441176470588232</v>
      </c>
    </row>
    <row r="14" spans="1:41" s="10" customFormat="1" ht="20.100000000000001" customHeight="1" x14ac:dyDescent="0.3">
      <c r="A14" s="26"/>
      <c r="B14" s="70"/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59">
        <f>COUNT(B2:B18)</f>
        <v>14</v>
      </c>
      <c r="B19" s="180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158</v>
      </c>
      <c r="K19" s="19">
        <f t="shared" si="11"/>
        <v>191</v>
      </c>
      <c r="L19" s="19">
        <f t="shared" si="11"/>
        <v>175</v>
      </c>
      <c r="M19" s="19">
        <f t="shared" si="11"/>
        <v>218</v>
      </c>
      <c r="N19" s="19">
        <f t="shared" si="11"/>
        <v>227</v>
      </c>
      <c r="O19" s="19">
        <f t="shared" si="11"/>
        <v>240</v>
      </c>
      <c r="P19" s="19">
        <f t="shared" si="11"/>
        <v>2459</v>
      </c>
      <c r="Q19" s="19">
        <f t="shared" si="11"/>
        <v>78</v>
      </c>
      <c r="R19" s="19">
        <f t="shared" si="11"/>
        <v>318.84126984126982</v>
      </c>
      <c r="S19" s="22"/>
      <c r="T19" s="179">
        <f>SUM(T4:T18)</f>
        <v>323</v>
      </c>
      <c r="U19" s="21">
        <f>SUM(U4:U18)</f>
        <v>195</v>
      </c>
      <c r="V19" s="19">
        <f>SUM(V4:V18)</f>
        <v>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195</v>
      </c>
      <c r="AI19" s="18">
        <f t="shared" si="12"/>
        <v>6</v>
      </c>
      <c r="AJ19" s="23">
        <f>AH19/AI19</f>
        <v>32.5</v>
      </c>
      <c r="AK19" s="78"/>
      <c r="AL19" s="24">
        <f>SUM(AL4:AL18)</f>
        <v>2654</v>
      </c>
      <c r="AM19" s="18">
        <f>SUM(AM4:AM18)</f>
        <v>84</v>
      </c>
      <c r="AN19" s="18">
        <f t="shared" ref="AN19" si="13">AL19/AM19</f>
        <v>31.595238095238095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workbookViewId="0">
      <selection activeCell="S57" sqref="S57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4.7773437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305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1" t="str">
        <f>Horendonk!A14</f>
        <v>Veraart Jef     (ns)</v>
      </c>
      <c r="C13" s="173">
        <f>Horendonk!T14</f>
        <v>27</v>
      </c>
      <c r="E13" s="68" t="str">
        <f>Kerkuilen!A14</f>
        <v>Schrooyen Jef</v>
      </c>
      <c r="F13" s="55">
        <f>Kerkuilen!T14</f>
        <v>51</v>
      </c>
      <c r="H13" s="263" t="str">
        <f>Meeuwen1!A14</f>
        <v>Vossen Ronny  [NS 20]</v>
      </c>
      <c r="I13" s="278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63" t="str">
        <f>Kerkuilen!A16</f>
        <v>Van Ginneken Cyriel [NS 20]</v>
      </c>
      <c r="F15" s="278">
        <f>Kerkuilen!T16</f>
        <v>16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63" t="str">
        <f>Kerkuilen!A17</f>
        <v>Van Oers Danny  [NS 50]</v>
      </c>
      <c r="F16" s="278">
        <f>Kerkuilen!T17</f>
        <v>51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567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63" t="str">
        <f>Meeuwen2!A12</f>
        <v>Present Marc [NS 20]</v>
      </c>
      <c r="C29" s="278">
        <f>Meeuwen2!T12</f>
        <v>23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463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2" t="str">
        <f>Nispen!A9</f>
        <v>Klijn Toon [NS 20]</v>
      </c>
      <c r="C44" s="278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2" t="str">
        <f>Nispen!A10</f>
        <v>Martens Gerrit [OS]</v>
      </c>
      <c r="C45" s="174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63" t="str">
        <f>Oudeglorie!A13</f>
        <v>Nelen Jef  [NS 25]</v>
      </c>
      <c r="F48" s="278">
        <f>Oudeglorie!T13</f>
        <v>25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394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3" t="str">
        <f>Wildert1!A6</f>
        <v>Buijk Jan  [NS 55]</v>
      </c>
      <c r="I59" s="279">
        <f>Wildert1!T6</f>
        <v>58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63" t="str">
        <f>Rooiebal2!A14</f>
        <v>Konings Kamiel [NS 20]</v>
      </c>
      <c r="C67" s="278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281" t="str">
        <f>Putte!A16</f>
        <v>Moerbeek Wilfried (ns)</v>
      </c>
      <c r="F69" s="173">
        <f>Putte!T16</f>
        <v>20</v>
      </c>
      <c r="G69" s="108"/>
      <c r="H69" s="263" t="str">
        <f>Wildert1!A16</f>
        <v xml:space="preserve">Wetzer Rik [NS 20] </v>
      </c>
      <c r="I69" s="279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277" t="str">
        <f>Wildert1!A17</f>
        <v>Seymus Eddy (ns)</v>
      </c>
      <c r="I70" s="175">
        <f>Wildert1!T17</f>
        <v>35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377</v>
      </c>
      <c r="G72" s="108"/>
      <c r="H72" s="149"/>
      <c r="I72" s="151">
        <f>SUM(I57:I69)</f>
        <v>416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296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63" t="str">
        <f>Wildert2!A10</f>
        <v>Peeters Hugo [NS 36]</v>
      </c>
      <c r="C81" s="173">
        <f>Wildert2!T10</f>
        <v>39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62" t="str">
        <f>Wildert2!A11</f>
        <v xml:space="preserve">Scholtis Vic  [NS 49] </v>
      </c>
      <c r="C82" s="173">
        <f>Wildert2!T11</f>
        <v>43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521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N42" sqref="N42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32" t="s">
        <v>332</v>
      </c>
      <c r="D2" s="332"/>
      <c r="E2" s="332"/>
      <c r="F2" s="332"/>
      <c r="G2" s="332"/>
      <c r="H2" s="332"/>
      <c r="I2" s="332"/>
    </row>
    <row r="3" spans="1:26" s="59" customFormat="1" ht="20.100000000000001" customHeight="1" x14ac:dyDescent="0.4">
      <c r="A3"/>
      <c r="C3" s="333" t="s">
        <v>198</v>
      </c>
      <c r="D3" s="333"/>
      <c r="E3" s="333"/>
      <c r="F3" s="333"/>
      <c r="G3" s="333"/>
      <c r="H3" s="333"/>
      <c r="I3" s="333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1" t="s">
        <v>5</v>
      </c>
      <c r="C6" s="181" t="s">
        <v>327</v>
      </c>
      <c r="D6" s="181" t="s">
        <v>131</v>
      </c>
      <c r="E6" s="181" t="s">
        <v>199</v>
      </c>
      <c r="F6" s="182">
        <v>2910</v>
      </c>
      <c r="G6" s="182" t="s">
        <v>200</v>
      </c>
      <c r="H6" s="183"/>
      <c r="I6" s="181" t="s">
        <v>201</v>
      </c>
      <c r="J6" s="184" t="s">
        <v>202</v>
      </c>
      <c r="K6" s="185"/>
    </row>
    <row r="7" spans="1:26" ht="15" customHeight="1" x14ac:dyDescent="0.3">
      <c r="B7" s="181"/>
      <c r="C7" s="181"/>
      <c r="D7" s="181"/>
      <c r="E7" s="181"/>
      <c r="F7" s="182"/>
      <c r="G7" s="182"/>
      <c r="H7" s="183" t="s">
        <v>203</v>
      </c>
      <c r="I7" s="181" t="s">
        <v>204</v>
      </c>
      <c r="J7" s="185"/>
      <c r="K7" s="185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6" t="s">
        <v>6</v>
      </c>
      <c r="C9" s="193" t="s">
        <v>327</v>
      </c>
      <c r="D9" s="186" t="s">
        <v>55</v>
      </c>
      <c r="E9" s="186" t="s">
        <v>320</v>
      </c>
      <c r="F9" s="187">
        <v>2910</v>
      </c>
      <c r="G9" s="187" t="s">
        <v>200</v>
      </c>
      <c r="H9" s="188"/>
      <c r="I9" s="186" t="s">
        <v>342</v>
      </c>
      <c r="J9" s="189" t="s">
        <v>325</v>
      </c>
      <c r="K9" s="190"/>
    </row>
    <row r="10" spans="1:26" ht="15.75" customHeight="1" x14ac:dyDescent="0.3">
      <c r="B10" s="191"/>
      <c r="C10" s="191"/>
      <c r="D10" s="191"/>
      <c r="E10" s="186"/>
      <c r="F10" s="187"/>
      <c r="G10" s="187"/>
      <c r="H10" s="188" t="s">
        <v>203</v>
      </c>
      <c r="I10" s="186" t="s">
        <v>321</v>
      </c>
      <c r="J10" s="190"/>
      <c r="K10" s="190"/>
    </row>
    <row r="11" spans="1:26" ht="5.0999999999999996" customHeight="1" x14ac:dyDescent="0.3">
      <c r="H11" s="63"/>
      <c r="I11" s="61"/>
    </row>
    <row r="12" spans="1:26" ht="15.6" x14ac:dyDescent="0.3">
      <c r="B12" s="185" t="s">
        <v>205</v>
      </c>
      <c r="C12" s="185" t="s">
        <v>327</v>
      </c>
      <c r="D12" s="185" t="s">
        <v>85</v>
      </c>
      <c r="E12" s="185" t="s">
        <v>209</v>
      </c>
      <c r="F12" s="192">
        <v>2910</v>
      </c>
      <c r="G12" s="192" t="s">
        <v>200</v>
      </c>
      <c r="H12" s="183" t="s">
        <v>203</v>
      </c>
      <c r="I12" s="181" t="s">
        <v>210</v>
      </c>
      <c r="J12" s="184" t="s">
        <v>211</v>
      </c>
      <c r="K12" s="185"/>
    </row>
    <row r="13" spans="1:26" ht="4.95" customHeight="1" x14ac:dyDescent="0.3">
      <c r="B13" s="185"/>
      <c r="C13" s="185"/>
      <c r="D13" s="185"/>
      <c r="E13" s="185"/>
      <c r="F13" s="192"/>
      <c r="G13" s="192"/>
      <c r="H13" s="183"/>
      <c r="I13" s="181"/>
      <c r="J13" s="184"/>
      <c r="K13" s="185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1" t="s">
        <v>212</v>
      </c>
      <c r="C15" s="201" t="s">
        <v>327</v>
      </c>
      <c r="D15" s="201" t="s">
        <v>206</v>
      </c>
      <c r="E15" s="201" t="s">
        <v>207</v>
      </c>
      <c r="F15" s="202">
        <v>2910</v>
      </c>
      <c r="G15" s="202" t="s">
        <v>200</v>
      </c>
      <c r="H15" s="205"/>
      <c r="I15" s="203" t="s">
        <v>208</v>
      </c>
      <c r="J15" s="201"/>
      <c r="K15" s="201"/>
    </row>
    <row r="16" spans="1:26" ht="4.95" customHeight="1" x14ac:dyDescent="0.3">
      <c r="B16" s="190"/>
      <c r="C16" s="190"/>
      <c r="D16" s="190"/>
      <c r="E16" s="190"/>
      <c r="F16" s="209"/>
      <c r="G16" s="209"/>
      <c r="H16" s="195"/>
      <c r="I16" s="193"/>
      <c r="J16" s="189"/>
      <c r="K16" s="190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6" t="s">
        <v>15</v>
      </c>
      <c r="C18" s="196" t="s">
        <v>327</v>
      </c>
      <c r="D18" s="196" t="s">
        <v>328</v>
      </c>
      <c r="E18" s="196" t="s">
        <v>322</v>
      </c>
      <c r="F18" s="197">
        <v>2910</v>
      </c>
      <c r="G18" s="197" t="s">
        <v>200</v>
      </c>
      <c r="H18" s="199" t="s">
        <v>203</v>
      </c>
      <c r="I18" s="198" t="s">
        <v>323</v>
      </c>
      <c r="J18" s="200" t="s">
        <v>324</v>
      </c>
      <c r="K18" s="196"/>
    </row>
    <row r="19" spans="1:11" ht="4.95" customHeight="1" x14ac:dyDescent="0.3">
      <c r="B19" s="185"/>
      <c r="C19" s="185"/>
      <c r="D19" s="185"/>
      <c r="E19" s="185"/>
      <c r="F19" s="192"/>
      <c r="G19" s="192"/>
      <c r="H19" s="183"/>
      <c r="I19" s="181"/>
      <c r="J19" s="184"/>
      <c r="K19" s="185"/>
    </row>
    <row r="20" spans="1:11" ht="5.0999999999999996" customHeight="1" x14ac:dyDescent="0.3">
      <c r="H20" s="63"/>
      <c r="I20" s="61"/>
    </row>
    <row r="21" spans="1:11" ht="15.6" x14ac:dyDescent="0.3">
      <c r="B21" s="193" t="s">
        <v>11</v>
      </c>
      <c r="C21" s="193" t="s">
        <v>327</v>
      </c>
      <c r="D21" s="193" t="s">
        <v>111</v>
      </c>
      <c r="E21" s="193" t="s">
        <v>213</v>
      </c>
      <c r="F21" s="194">
        <v>2910</v>
      </c>
      <c r="G21" s="194" t="s">
        <v>200</v>
      </c>
      <c r="H21" s="195" t="s">
        <v>203</v>
      </c>
      <c r="I21" s="193" t="s">
        <v>215</v>
      </c>
      <c r="J21" s="189" t="s">
        <v>214</v>
      </c>
      <c r="K21" s="190"/>
    </row>
    <row r="22" spans="1:11" ht="15.6" x14ac:dyDescent="0.3">
      <c r="B22" s="193"/>
      <c r="C22" s="193"/>
      <c r="D22" s="193"/>
      <c r="E22" s="193"/>
      <c r="F22" s="194"/>
      <c r="G22" s="194"/>
      <c r="H22" s="195"/>
      <c r="I22" s="193"/>
      <c r="J22" s="190"/>
      <c r="K22" s="190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6" t="s">
        <v>216</v>
      </c>
      <c r="C24" s="196" t="s">
        <v>327</v>
      </c>
      <c r="D24" s="196" t="s">
        <v>122</v>
      </c>
      <c r="E24" s="196" t="s">
        <v>217</v>
      </c>
      <c r="F24" s="197">
        <v>2910</v>
      </c>
      <c r="G24" s="197" t="s">
        <v>200</v>
      </c>
      <c r="H24" s="199" t="s">
        <v>203</v>
      </c>
      <c r="I24" s="198" t="s">
        <v>218</v>
      </c>
      <c r="J24" s="200" t="s">
        <v>219</v>
      </c>
      <c r="K24" s="196"/>
    </row>
    <row r="25" spans="1:11" ht="4.95" customHeight="1" x14ac:dyDescent="0.3">
      <c r="H25" s="63"/>
      <c r="I25" s="61"/>
    </row>
    <row r="26" spans="1:11" ht="15.6" x14ac:dyDescent="0.3">
      <c r="B26" s="193" t="s">
        <v>220</v>
      </c>
      <c r="C26" s="193" t="s">
        <v>327</v>
      </c>
      <c r="D26" s="193" t="s">
        <v>72</v>
      </c>
      <c r="E26" s="193" t="s">
        <v>221</v>
      </c>
      <c r="F26" s="194">
        <v>2910</v>
      </c>
      <c r="G26" s="194" t="s">
        <v>200</v>
      </c>
      <c r="H26" s="195"/>
      <c r="I26" s="193" t="s">
        <v>222</v>
      </c>
      <c r="J26" s="189" t="s">
        <v>223</v>
      </c>
      <c r="K26" s="190"/>
    </row>
    <row r="27" spans="1:11" ht="4.95" customHeight="1" x14ac:dyDescent="0.3">
      <c r="B27" s="190"/>
      <c r="C27" s="190"/>
      <c r="D27" s="190"/>
      <c r="E27" s="190"/>
      <c r="F27" s="209"/>
      <c r="G27" s="209"/>
      <c r="H27" s="195"/>
      <c r="I27" s="193"/>
      <c r="J27" s="189"/>
      <c r="K27" s="190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1" t="s">
        <v>39</v>
      </c>
      <c r="C29" s="196" t="s">
        <v>327</v>
      </c>
      <c r="D29" s="181" t="s">
        <v>150</v>
      </c>
      <c r="E29" s="181" t="s">
        <v>338</v>
      </c>
      <c r="F29" s="182">
        <v>2950</v>
      </c>
      <c r="G29" s="182" t="s">
        <v>339</v>
      </c>
      <c r="H29" s="183" t="s">
        <v>203</v>
      </c>
      <c r="I29" s="181" t="s">
        <v>326</v>
      </c>
      <c r="J29" s="184" t="s">
        <v>224</v>
      </c>
      <c r="K29" s="185"/>
    </row>
    <row r="30" spans="1:11" ht="4.95" customHeight="1" x14ac:dyDescent="0.3">
      <c r="B30" s="185"/>
      <c r="C30" s="185"/>
      <c r="D30" s="185"/>
      <c r="E30" s="185"/>
      <c r="F30" s="192"/>
      <c r="G30" s="192"/>
      <c r="H30" s="183"/>
      <c r="I30" s="181"/>
      <c r="J30" s="184"/>
      <c r="K30" s="185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3" t="s">
        <v>225</v>
      </c>
      <c r="C32" s="193" t="s">
        <v>327</v>
      </c>
      <c r="D32" s="203" t="s">
        <v>363</v>
      </c>
      <c r="E32" s="203" t="s">
        <v>364</v>
      </c>
      <c r="F32" s="204">
        <v>2910</v>
      </c>
      <c r="G32" s="204" t="s">
        <v>200</v>
      </c>
      <c r="H32" s="205" t="s">
        <v>203</v>
      </c>
      <c r="I32" s="203" t="s">
        <v>365</v>
      </c>
      <c r="J32" s="206" t="s">
        <v>366</v>
      </c>
      <c r="K32" s="201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8" t="s">
        <v>226</v>
      </c>
      <c r="C34" s="196" t="s">
        <v>327</v>
      </c>
      <c r="D34" s="198" t="s">
        <v>162</v>
      </c>
      <c r="E34" s="198" t="s">
        <v>227</v>
      </c>
      <c r="F34" s="207">
        <v>2910</v>
      </c>
      <c r="G34" s="207" t="s">
        <v>200</v>
      </c>
      <c r="H34" s="199" t="s">
        <v>203</v>
      </c>
      <c r="I34" s="198" t="s">
        <v>228</v>
      </c>
      <c r="J34" s="200" t="s">
        <v>229</v>
      </c>
      <c r="K34" s="196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3" t="s">
        <v>12</v>
      </c>
      <c r="C36" s="193" t="s">
        <v>327</v>
      </c>
      <c r="D36" s="193" t="s">
        <v>170</v>
      </c>
      <c r="E36" s="193" t="s">
        <v>230</v>
      </c>
      <c r="F36" s="194">
        <v>2910</v>
      </c>
      <c r="G36" s="194" t="s">
        <v>200</v>
      </c>
      <c r="H36" s="195"/>
      <c r="I36" s="193" t="s">
        <v>231</v>
      </c>
      <c r="J36" s="189" t="s">
        <v>232</v>
      </c>
      <c r="K36" s="190"/>
    </row>
    <row r="37" spans="1:11" ht="15.6" x14ac:dyDescent="0.3">
      <c r="B37" s="193"/>
      <c r="C37" s="193"/>
      <c r="D37" s="193"/>
      <c r="E37" s="193"/>
      <c r="F37" s="194"/>
      <c r="G37" s="194"/>
      <c r="H37" s="195" t="s">
        <v>203</v>
      </c>
      <c r="I37" s="193" t="s">
        <v>233</v>
      </c>
      <c r="J37" s="190"/>
      <c r="K37" s="190"/>
    </row>
    <row r="38" spans="1:11" ht="5.0999999999999996" customHeight="1" x14ac:dyDescent="0.3">
      <c r="H38" s="63"/>
      <c r="I38" s="61"/>
    </row>
    <row r="39" spans="1:11" ht="15.6" x14ac:dyDescent="0.3">
      <c r="B39" s="185" t="s">
        <v>8</v>
      </c>
      <c r="C39" s="196" t="s">
        <v>327</v>
      </c>
      <c r="D39" s="185" t="s">
        <v>182</v>
      </c>
      <c r="E39" s="185" t="s">
        <v>234</v>
      </c>
      <c r="F39" s="192">
        <v>2910</v>
      </c>
      <c r="G39" s="192" t="s">
        <v>200</v>
      </c>
      <c r="H39" s="183"/>
      <c r="I39" s="181" t="s">
        <v>235</v>
      </c>
      <c r="J39" s="184" t="s">
        <v>236</v>
      </c>
      <c r="K39" s="185"/>
    </row>
    <row r="40" spans="1:11" ht="15.6" x14ac:dyDescent="0.3">
      <c r="B40" s="185"/>
      <c r="C40" s="185"/>
      <c r="D40" s="185"/>
      <c r="E40" s="185"/>
      <c r="F40" s="192"/>
      <c r="G40" s="192"/>
      <c r="H40" s="183" t="s">
        <v>203</v>
      </c>
      <c r="I40" s="181" t="s">
        <v>330</v>
      </c>
      <c r="J40" s="185"/>
      <c r="K40" s="185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1" t="s">
        <v>291</v>
      </c>
      <c r="C42" s="193" t="s">
        <v>327</v>
      </c>
      <c r="D42" s="201" t="s">
        <v>187</v>
      </c>
      <c r="E42" s="203" t="s">
        <v>294</v>
      </c>
      <c r="F42" s="202">
        <v>2910</v>
      </c>
      <c r="G42" s="202" t="s">
        <v>200</v>
      </c>
      <c r="H42" s="205" t="s">
        <v>203</v>
      </c>
      <c r="I42" s="203" t="s">
        <v>331</v>
      </c>
      <c r="J42" s="206" t="s">
        <v>329</v>
      </c>
      <c r="K42" s="201"/>
    </row>
    <row r="43" spans="1:11" ht="4.95" customHeight="1" x14ac:dyDescent="0.3">
      <c r="B43" s="190"/>
      <c r="C43" s="190"/>
      <c r="D43" s="190"/>
      <c r="E43" s="190"/>
      <c r="F43" s="209"/>
      <c r="G43" s="209"/>
      <c r="H43" s="195"/>
      <c r="I43" s="193"/>
      <c r="J43" s="189"/>
      <c r="K43" s="190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sheetProtection algorithmName="SHA-512" hashValue="JwL4G17rwh0XawDRkWLYfAmtpjBSV02eKnUYrqBWau5l68LKyZzHBkJiBG5I8ckPzwyj+jjokvnBiB/jJ8nv2w==" saltValue="f+R4O3Ogz6rxGUwfynhGaQ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32" t="s">
        <v>303</v>
      </c>
      <c r="C2" s="332"/>
      <c r="D2" s="332"/>
      <c r="E2" s="332"/>
      <c r="F2" s="332"/>
      <c r="G2" s="332"/>
      <c r="H2" s="332"/>
      <c r="J2" s="114"/>
    </row>
    <row r="3" spans="2:10" s="59" customFormat="1" ht="24.9" customHeight="1" x14ac:dyDescent="0.4">
      <c r="B3" s="332" t="s">
        <v>237</v>
      </c>
      <c r="C3" s="332"/>
      <c r="D3" s="332"/>
      <c r="E3" s="332"/>
      <c r="F3" s="332"/>
      <c r="G3" s="332"/>
      <c r="H3" s="332"/>
      <c r="J3" s="114"/>
    </row>
    <row r="4" spans="2:10" ht="12.9" customHeight="1" x14ac:dyDescent="0.3">
      <c r="J4" s="116" t="s">
        <v>238</v>
      </c>
    </row>
    <row r="6" spans="2:10" s="61" customFormat="1" ht="25.2" customHeight="1" x14ac:dyDescent="0.3">
      <c r="B6" s="61" t="s">
        <v>15</v>
      </c>
      <c r="C6" s="61" t="s">
        <v>239</v>
      </c>
      <c r="D6" s="61" t="s">
        <v>240</v>
      </c>
      <c r="E6" s="61">
        <v>2910</v>
      </c>
      <c r="F6" s="61" t="s">
        <v>200</v>
      </c>
      <c r="H6" s="61" t="s">
        <v>241</v>
      </c>
      <c r="J6" s="62" t="s">
        <v>242</v>
      </c>
    </row>
    <row r="7" spans="2:10" s="61" customFormat="1" ht="25.2" customHeight="1" x14ac:dyDescent="0.3">
      <c r="B7" s="61" t="s">
        <v>205</v>
      </c>
      <c r="C7" s="61" t="s">
        <v>239</v>
      </c>
      <c r="D7" s="61" t="s">
        <v>240</v>
      </c>
      <c r="E7" s="61">
        <v>2910</v>
      </c>
      <c r="F7" s="61" t="s">
        <v>200</v>
      </c>
      <c r="H7" s="61" t="s">
        <v>241</v>
      </c>
      <c r="J7" s="62" t="s">
        <v>243</v>
      </c>
    </row>
    <row r="8" spans="2:10" s="61" customFormat="1" ht="25.2" customHeight="1" x14ac:dyDescent="0.3">
      <c r="B8" s="61" t="s">
        <v>212</v>
      </c>
      <c r="C8" s="61" t="s">
        <v>239</v>
      </c>
      <c r="D8" s="61" t="s">
        <v>240</v>
      </c>
      <c r="E8" s="61">
        <v>2910</v>
      </c>
      <c r="F8" s="61" t="s">
        <v>200</v>
      </c>
      <c r="G8" s="62"/>
      <c r="H8" s="61" t="s">
        <v>241</v>
      </c>
      <c r="J8" s="62" t="s">
        <v>244</v>
      </c>
    </row>
    <row r="9" spans="2:10" s="61" customFormat="1" ht="25.2" customHeight="1" x14ac:dyDescent="0.3">
      <c r="B9" s="61" t="s">
        <v>5</v>
      </c>
      <c r="C9" s="61" t="s">
        <v>245</v>
      </c>
      <c r="D9" s="61" t="s">
        <v>246</v>
      </c>
      <c r="E9" s="61">
        <v>2910</v>
      </c>
      <c r="F9" s="61" t="s">
        <v>200</v>
      </c>
      <c r="G9" s="62"/>
      <c r="H9" s="61" t="s">
        <v>247</v>
      </c>
      <c r="J9" s="62" t="s">
        <v>248</v>
      </c>
    </row>
    <row r="10" spans="2:10" s="61" customFormat="1" ht="25.2" customHeight="1" x14ac:dyDescent="0.35">
      <c r="B10" s="66" t="s">
        <v>6</v>
      </c>
      <c r="C10" s="61" t="s">
        <v>249</v>
      </c>
      <c r="D10" s="61" t="s">
        <v>250</v>
      </c>
      <c r="E10" s="61">
        <v>2910</v>
      </c>
      <c r="F10" s="61" t="s">
        <v>200</v>
      </c>
      <c r="G10" s="62"/>
      <c r="H10" s="61" t="s">
        <v>251</v>
      </c>
      <c r="J10" s="62" t="s">
        <v>248</v>
      </c>
    </row>
    <row r="11" spans="2:10" s="61" customFormat="1" ht="25.2" customHeight="1" x14ac:dyDescent="0.35">
      <c r="B11" s="66" t="s">
        <v>220</v>
      </c>
      <c r="C11" s="61" t="s">
        <v>252</v>
      </c>
      <c r="D11" s="61" t="s">
        <v>253</v>
      </c>
      <c r="E11" s="61">
        <v>2910</v>
      </c>
      <c r="F11" s="61" t="s">
        <v>200</v>
      </c>
      <c r="G11" s="62"/>
      <c r="H11" s="61" t="s">
        <v>254</v>
      </c>
      <c r="J11" s="62" t="s">
        <v>244</v>
      </c>
    </row>
    <row r="12" spans="2:10" s="61" customFormat="1" ht="25.2" customHeight="1" x14ac:dyDescent="0.35">
      <c r="B12" s="66" t="s">
        <v>11</v>
      </c>
      <c r="C12" s="61" t="s">
        <v>255</v>
      </c>
      <c r="D12" s="61" t="s">
        <v>256</v>
      </c>
      <c r="E12" s="61">
        <v>2910</v>
      </c>
      <c r="F12" s="61" t="s">
        <v>200</v>
      </c>
      <c r="G12" s="62"/>
      <c r="H12" s="61" t="s">
        <v>257</v>
      </c>
      <c r="J12" s="62" t="s">
        <v>242</v>
      </c>
    </row>
    <row r="13" spans="2:10" s="61" customFormat="1" ht="25.2" customHeight="1" x14ac:dyDescent="0.35">
      <c r="B13" s="66" t="s">
        <v>216</v>
      </c>
      <c r="C13" s="61" t="s">
        <v>258</v>
      </c>
      <c r="D13" s="61" t="s">
        <v>259</v>
      </c>
      <c r="E13" s="61" t="s">
        <v>260</v>
      </c>
      <c r="F13" s="61" t="s">
        <v>261</v>
      </c>
      <c r="G13" s="62" t="s">
        <v>262</v>
      </c>
      <c r="H13" s="61" t="s">
        <v>263</v>
      </c>
      <c r="J13" s="62" t="s">
        <v>242</v>
      </c>
    </row>
    <row r="14" spans="2:10" s="61" customFormat="1" ht="25.2" customHeight="1" x14ac:dyDescent="0.35">
      <c r="B14" s="66" t="s">
        <v>264</v>
      </c>
      <c r="C14" s="65" t="s">
        <v>265</v>
      </c>
      <c r="D14" s="61" t="s">
        <v>266</v>
      </c>
      <c r="E14" s="61">
        <v>2940</v>
      </c>
      <c r="F14" s="61" t="s">
        <v>267</v>
      </c>
      <c r="G14" s="62"/>
      <c r="H14" s="61" t="s">
        <v>268</v>
      </c>
      <c r="J14" s="62" t="s">
        <v>242</v>
      </c>
    </row>
    <row r="15" spans="2:10" s="61" customFormat="1" ht="25.2" customHeight="1" x14ac:dyDescent="0.35">
      <c r="B15" s="66" t="s">
        <v>7</v>
      </c>
      <c r="C15" s="61" t="s">
        <v>255</v>
      </c>
      <c r="D15" s="61" t="s">
        <v>256</v>
      </c>
      <c r="E15" s="61">
        <v>2910</v>
      </c>
      <c r="F15" s="61" t="s">
        <v>200</v>
      </c>
      <c r="G15" s="62"/>
      <c r="H15" s="61" t="s">
        <v>257</v>
      </c>
      <c r="J15" s="62" t="s">
        <v>242</v>
      </c>
    </row>
    <row r="16" spans="2:10" s="61" customFormat="1" ht="25.2" customHeight="1" x14ac:dyDescent="0.35">
      <c r="B16" s="66" t="s">
        <v>9</v>
      </c>
      <c r="C16" s="61" t="s">
        <v>255</v>
      </c>
      <c r="D16" s="61" t="s">
        <v>256</v>
      </c>
      <c r="E16" s="61">
        <v>2910</v>
      </c>
      <c r="F16" s="61" t="s">
        <v>200</v>
      </c>
      <c r="G16" s="62"/>
      <c r="H16" s="61" t="s">
        <v>257</v>
      </c>
      <c r="J16" s="62" t="s">
        <v>243</v>
      </c>
    </row>
    <row r="17" spans="2:10" s="61" customFormat="1" ht="25.2" customHeight="1" x14ac:dyDescent="0.35">
      <c r="B17" s="66" t="s">
        <v>12</v>
      </c>
      <c r="C17" s="65" t="s">
        <v>245</v>
      </c>
      <c r="D17" s="61" t="s">
        <v>246</v>
      </c>
      <c r="E17" s="61">
        <v>2910</v>
      </c>
      <c r="F17" s="61" t="s">
        <v>200</v>
      </c>
      <c r="G17" s="62"/>
      <c r="H17" s="61" t="s">
        <v>269</v>
      </c>
      <c r="J17" s="62" t="s">
        <v>270</v>
      </c>
    </row>
    <row r="18" spans="2:10" s="61" customFormat="1" ht="25.2" customHeight="1" x14ac:dyDescent="0.35">
      <c r="B18" s="66" t="s">
        <v>8</v>
      </c>
      <c r="C18" s="61" t="s">
        <v>271</v>
      </c>
      <c r="D18" s="61" t="s">
        <v>272</v>
      </c>
      <c r="E18" s="61">
        <v>2910</v>
      </c>
      <c r="F18" s="61" t="s">
        <v>200</v>
      </c>
      <c r="G18" s="62" t="s">
        <v>127</v>
      </c>
      <c r="H18" s="61" t="s">
        <v>273</v>
      </c>
      <c r="J18" s="62" t="s">
        <v>243</v>
      </c>
    </row>
    <row r="19" spans="2:10" s="61" customFormat="1" ht="25.2" customHeight="1" x14ac:dyDescent="0.3">
      <c r="B19" s="61" t="s">
        <v>291</v>
      </c>
      <c r="C19" s="61" t="s">
        <v>292</v>
      </c>
      <c r="D19" s="61" t="s">
        <v>293</v>
      </c>
      <c r="E19" s="61">
        <v>2910</v>
      </c>
      <c r="F19" s="61" t="s">
        <v>200</v>
      </c>
      <c r="G19" s="62"/>
      <c r="J19" s="62" t="s">
        <v>243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274</v>
      </c>
      <c r="D22" s="82" t="s">
        <v>275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276</v>
      </c>
      <c r="C24" s="61" t="s">
        <v>136</v>
      </c>
      <c r="D24" s="61" t="s">
        <v>277</v>
      </c>
      <c r="E24" s="61">
        <v>2910</v>
      </c>
      <c r="F24" s="61" t="s">
        <v>200</v>
      </c>
      <c r="G24" s="62"/>
      <c r="H24" s="61" t="s">
        <v>278</v>
      </c>
      <c r="I24" s="60" t="s">
        <v>279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280</v>
      </c>
      <c r="C26" s="61" t="s">
        <v>136</v>
      </c>
      <c r="D26" s="61" t="s">
        <v>277</v>
      </c>
      <c r="E26" s="61">
        <v>2910</v>
      </c>
      <c r="F26" s="61" t="s">
        <v>200</v>
      </c>
      <c r="G26" s="62"/>
      <c r="H26" s="61" t="s">
        <v>278</v>
      </c>
      <c r="I26" s="60" t="s">
        <v>279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281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 x14ac:dyDescent="0.3"/>
    <row r="30" spans="2:10" ht="15.6" x14ac:dyDescent="0.3">
      <c r="H30" s="100" t="s">
        <v>344</v>
      </c>
      <c r="I30" s="60" t="s">
        <v>343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Filip Vossen</cp:lastModifiedBy>
  <cp:revision/>
  <cp:lastPrinted>2025-12-06T07:00:55Z</cp:lastPrinted>
  <dcterms:created xsi:type="dcterms:W3CDTF">2017-09-04T07:39:22Z</dcterms:created>
  <dcterms:modified xsi:type="dcterms:W3CDTF">2026-01-10T18:13:11Z</dcterms:modified>
  <cp:category/>
  <cp:contentStatus/>
</cp:coreProperties>
</file>