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290FEC66-DFC9-40DF-9EAF-69315790BC5F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28680" yWindow="810" windowWidth="30960" windowHeight="16800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04" i="17" l="1"/>
  <c r="Q104" i="17"/>
  <c r="P104" i="17"/>
  <c r="O104" i="17"/>
  <c r="N104" i="17"/>
  <c r="M104" i="17"/>
  <c r="L104" i="17"/>
  <c r="K104" i="17"/>
  <c r="J104" i="17"/>
  <c r="I104" i="17"/>
  <c r="H104" i="17"/>
  <c r="G104" i="17"/>
  <c r="F104" i="17"/>
  <c r="E104" i="17"/>
  <c r="A103" i="17"/>
  <c r="B103" i="17"/>
  <c r="C103" i="17"/>
  <c r="E103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P20" i="7"/>
  <c r="G20" i="7"/>
  <c r="F47" i="17"/>
  <c r="E47" i="17"/>
  <c r="G114" i="17"/>
  <c r="G102" i="17"/>
  <c r="F102" i="17"/>
  <c r="E63" i="17"/>
  <c r="H63" i="17"/>
  <c r="J48" i="17"/>
  <c r="I48" i="17"/>
  <c r="F48" i="17"/>
  <c r="J20" i="7"/>
  <c r="I20" i="7"/>
  <c r="I92" i="17"/>
  <c r="G92" i="17"/>
  <c r="E92" i="17"/>
  <c r="I131" i="17"/>
  <c r="F131" i="17"/>
  <c r="E131" i="17"/>
  <c r="I130" i="17"/>
  <c r="H130" i="17"/>
  <c r="G130" i="17"/>
  <c r="H20" i="7"/>
  <c r="A85" i="17" l="1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E3" i="22" l="1"/>
  <c r="C31" i="17"/>
  <c r="C50" i="17"/>
  <c r="C68" i="17"/>
  <c r="C86" i="17"/>
  <c r="C104" i="17"/>
  <c r="C120" i="17"/>
  <c r="C138" i="17"/>
  <c r="C16" i="19" l="1"/>
  <c r="F50" i="19"/>
  <c r="F51" i="19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N102" i="17"/>
  <c r="O102" i="17"/>
  <c r="P102" i="17"/>
  <c r="Q102" i="17"/>
  <c r="R102" i="17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R68" i="17" l="1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I31" i="17"/>
  <c r="F31" i="17"/>
  <c r="P68" i="17"/>
  <c r="L31" i="17"/>
  <c r="H31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N138" i="17"/>
  <c r="M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N18" i="10" l="1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M31" i="17"/>
  <c r="N31" i="17"/>
  <c r="O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8" i="18" l="1"/>
  <c r="A14" i="18"/>
  <c r="A13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14" i="1" l="1"/>
  <c r="M10" i="14"/>
  <c r="N14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C19" i="3" l="1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Y19" i="10"/>
  <c r="AC19" i="10" l="1"/>
  <c r="AD19" i="10"/>
  <c r="A11" i="18" l="1"/>
  <c r="P120" i="17" l="1"/>
  <c r="Q120" i="17"/>
  <c r="P17" i="17" l="1"/>
  <c r="R17" i="17"/>
  <c r="O17" i="17"/>
  <c r="Q17" i="17"/>
  <c r="O120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9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N9" i="18" l="1"/>
  <c r="G18" i="17"/>
  <c r="G87" i="17"/>
  <c r="H87" i="17" s="1"/>
  <c r="B14" i="18"/>
  <c r="B15" i="18"/>
  <c r="H105" i="17"/>
  <c r="I105" i="17" s="1"/>
  <c r="J105" i="17" s="1"/>
  <c r="K105" i="17" s="1"/>
  <c r="B13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1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21" i="17"/>
  <c r="H120" i="17"/>
  <c r="A12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1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1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B17" i="15"/>
  <c r="AA8" i="15"/>
  <c r="C129" i="17" s="1"/>
  <c r="AB8" i="15"/>
  <c r="AB9" i="10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1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B4" i="18" l="1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AA20" i="14"/>
  <c r="F9" i="18" s="1"/>
  <c r="AB20" i="14"/>
  <c r="AB20" i="15"/>
  <c r="AB20" i="12"/>
  <c r="AC20" i="12" s="1"/>
  <c r="C126" i="17"/>
  <c r="C139" i="17" s="1"/>
  <c r="D14" i="18" s="1"/>
  <c r="AA20" i="15"/>
  <c r="F14" i="18" s="1"/>
  <c r="Y20" i="14"/>
  <c r="Y20" i="15"/>
  <c r="Y20" i="10"/>
  <c r="AB20" i="10"/>
  <c r="M20" i="10"/>
  <c r="C35" i="17"/>
  <c r="AA20" i="10"/>
  <c r="F13" i="18" s="1"/>
  <c r="C73" i="17"/>
  <c r="C87" i="17" s="1"/>
  <c r="D11" i="18" s="1"/>
  <c r="C90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M20" i="4" l="1"/>
  <c r="C51" i="17"/>
  <c r="D13" i="18" s="1"/>
  <c r="N12" i="18"/>
  <c r="H15" i="18"/>
  <c r="L15" i="18" s="1"/>
  <c r="J15" i="18"/>
  <c r="J11" i="18"/>
  <c r="H11" i="18"/>
  <c r="J9" i="18"/>
  <c r="H9" i="18"/>
  <c r="L9" i="18" s="1"/>
  <c r="J13" i="18"/>
  <c r="H13" i="18"/>
  <c r="L13" i="18" s="1"/>
  <c r="H14" i="18"/>
  <c r="J14" i="18"/>
  <c r="AC15" i="4"/>
  <c r="AC20" i="14"/>
  <c r="AC20" i="15"/>
  <c r="C15" i="17"/>
  <c r="AA20" i="4"/>
  <c r="F10" i="18" s="1"/>
  <c r="AB20" i="3"/>
  <c r="AA20" i="3"/>
  <c r="F8" i="18" s="1"/>
  <c r="AC20" i="10"/>
  <c r="C105" i="17"/>
  <c r="D9" i="18" s="1"/>
  <c r="C69" i="17"/>
  <c r="D8" i="18" s="1"/>
  <c r="L105" i="17"/>
  <c r="C163" i="17"/>
  <c r="AF17" i="16"/>
  <c r="M121" i="17"/>
  <c r="N121" i="17" s="1"/>
  <c r="O121" i="17" s="1"/>
  <c r="P121" i="17" s="1"/>
  <c r="Q121" i="17" s="1"/>
  <c r="R121" i="17" s="1"/>
  <c r="B12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B5" i="1"/>
  <c r="H8" i="18" l="1"/>
  <c r="L8" i="18" s="1"/>
  <c r="K11" i="18"/>
  <c r="L11" i="18"/>
  <c r="J8" i="18"/>
  <c r="K15" i="18"/>
  <c r="L14" i="18"/>
  <c r="K13" i="18"/>
  <c r="K9" i="18"/>
  <c r="K14" i="18"/>
  <c r="J10" i="18"/>
  <c r="H10" i="18"/>
  <c r="L10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12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8" i="18" l="1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9" i="18"/>
  <c r="AD5" i="1"/>
  <c r="J12" i="18" s="1"/>
  <c r="AC5" i="1"/>
  <c r="H12" i="18" l="1"/>
  <c r="L12" i="18" s="1"/>
  <c r="C121" i="17"/>
  <c r="D12" i="18" s="1"/>
  <c r="E40" i="22"/>
  <c r="E90" i="22"/>
  <c r="E20" i="22" l="1"/>
  <c r="E58" i="22"/>
  <c r="K12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8" i="18"/>
  <c r="O12" i="18"/>
  <c r="O13" i="18"/>
  <c r="O14" i="18"/>
  <c r="O11" i="18"/>
  <c r="O9" i="18"/>
  <c r="O15" i="18"/>
  <c r="O8" i="18"/>
  <c r="O10" i="18"/>
  <c r="N8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<sst xmlns="http://schemas.openxmlformats.org/spreadsheetml/2006/main" count="650" uniqueCount="275">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</sst>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41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2" fillId="0" borderId="0" xfId="0" applyNumberFormat="1" applyFont="1" applyAlignment="1">
      <alignment horizontal="center"/>
    </xf>
    <xf numFmtId="164" fontId="52" fillId="3" borderId="0" xfId="0" applyNumberFormat="1" applyFont="1" applyFill="1"/>
    <xf numFmtId="0" fontId="52" fillId="0" borderId="0" xfId="0" applyFont="1"/>
    <xf numFmtId="0" fontId="44" fillId="0" borderId="0" xfId="0" applyFont="1" applyAlignment="1">
      <alignment horizontal="right"/>
    </xf>
    <xf numFmtId="1" fontId="52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4" fillId="3" borderId="0" xfId="0" applyNumberFormat="1" applyFont="1" applyFill="1"/>
    <xf numFmtId="0" fontId="53" fillId="0" borderId="0" xfId="0" applyFont="1" applyAlignment="1">
      <alignment horizontal="center" vertical="center" wrapText="1"/>
    </xf>
    <xf numFmtId="1" fontId="55" fillId="0" borderId="40" xfId="0" applyNumberFormat="1" applyFont="1" applyBorder="1" applyAlignment="1" applyProtection="1">
      <alignment horizontal="center"/>
      <protection locked="0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4" fillId="0" borderId="0" xfId="0" applyFont="1"/>
    <xf numFmtId="0" fontId="65" fillId="0" borderId="0" xfId="0" applyFont="1" applyAlignment="1">
      <alignment horizontal="center" vertical="center" wrapText="1" shrinkToFit="1"/>
    </xf>
    <xf numFmtId="0" fontId="65" fillId="0" borderId="0" xfId="0" applyFont="1" applyAlignment="1">
      <alignment horizontal="center" vertical="center" wrapText="1"/>
    </xf>
    <xf numFmtId="0" fontId="66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71" fillId="0" borderId="57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9" xfId="0" applyFont="1" applyBorder="1" applyAlignment="1">
      <alignment horizontal="center" textRotation="90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</cellXfs>
  <cellStyles count="2">
    <cellStyle name="Hyperlink" xfId="1" builtinId="8"/>
    <cellStyle name="Standaard" xfId="0" builtinId="0"/>
  </cellStyles>
  <dxfs count="75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color rgb="FFFF0000"/>
      </font>
    </dxf>
    <dxf>
      <font>
        <b val="0"/>
        <i val="0"/>
        <color rgb="FF000000"/>
      </font>
    </dxf>
    <dxf>
      <font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B4" sqref="B4:D5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68">
        <v>0</v>
      </c>
      <c r="B1" s="272" t="s">
        <v>225</v>
      </c>
      <c r="C1" s="273"/>
      <c r="D1" s="273"/>
      <c r="E1" s="231"/>
    </row>
    <row r="2" spans="1:22" ht="17.25" customHeight="1">
      <c r="A2" s="268"/>
      <c r="B2" s="273"/>
      <c r="C2" s="273"/>
      <c r="D2" s="273"/>
      <c r="E2" s="231"/>
      <c r="F2" s="274" t="s">
        <v>246</v>
      </c>
      <c r="G2" s="274"/>
    </row>
    <row r="3" spans="1:22" ht="21" customHeight="1">
      <c r="B3" s="275" t="s">
        <v>48</v>
      </c>
      <c r="C3" s="275"/>
      <c r="D3" s="275"/>
      <c r="E3" s="232"/>
      <c r="F3" s="271">
        <v>46028</v>
      </c>
      <c r="G3" s="271"/>
      <c r="H3" s="61"/>
    </row>
    <row r="4" spans="1:22" ht="16.2" customHeight="1">
      <c r="B4" s="276" t="str">
        <f>IF(A8=14,"EINDSTAND", "TUSSENSTAND"  )</f>
        <v>TUSSENSTAND</v>
      </c>
      <c r="C4" s="276"/>
      <c r="D4" s="276"/>
      <c r="E4" s="233"/>
      <c r="F4" s="102"/>
    </row>
    <row r="5" spans="1:22" ht="25.2" customHeight="1" thickBot="1">
      <c r="B5" s="276"/>
      <c r="C5" s="276"/>
      <c r="D5" s="276"/>
      <c r="E5" s="233"/>
      <c r="F5" s="102"/>
      <c r="N5" s="244" t="s">
        <v>261</v>
      </c>
      <c r="O5" s="244" t="s">
        <v>262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69" t="s">
        <v>259</v>
      </c>
      <c r="G6" s="269"/>
      <c r="H6" s="270" t="s">
        <v>260</v>
      </c>
      <c r="I6" s="270"/>
      <c r="J6" s="270"/>
      <c r="K6" s="253" t="s">
        <v>265</v>
      </c>
      <c r="L6" s="252" t="s">
        <v>266</v>
      </c>
      <c r="M6" s="252"/>
      <c r="N6" s="245">
        <v>7</v>
      </c>
      <c r="O6" s="245">
        <v>7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6"/>
      <c r="G7" s="236"/>
      <c r="H7" s="236"/>
      <c r="I7" s="236"/>
      <c r="J7" s="236"/>
      <c r="K7" s="59"/>
      <c r="L7" s="59"/>
      <c r="M7" s="59"/>
      <c r="N7" s="236"/>
      <c r="O7" s="236"/>
    </row>
    <row r="8" spans="1:22" s="67" customFormat="1" ht="20.100000000000001" customHeight="1">
      <c r="A8" s="145">
        <f>COUNTIF(Punten!$E$68:'Punten'!$R$68,"&gt;0")</f>
        <v>7</v>
      </c>
      <c r="B8" s="146" t="str">
        <f t="shared" ref="B8:B15" si="0">IF(A8&gt;0,"W", " ")</f>
        <v>W</v>
      </c>
      <c r="C8" s="254" t="s">
        <v>156</v>
      </c>
      <c r="D8" s="235">
        <f>Punten!$C$69</f>
        <v>419.80900000000003</v>
      </c>
      <c r="E8" s="235"/>
      <c r="F8" s="241">
        <f>Oudeglorie!$AA$20</f>
        <v>1314</v>
      </c>
      <c r="G8" s="237"/>
      <c r="H8" s="243" t="str">
        <f>INDEX(Oudeglorie!$B$5:$B$19,MATCH(MAX(Oudeglorie!$AD$5:$AD$19),Oudeglorie!$AD$5:$AD$19,0))</f>
        <v>Cleeren Guido</v>
      </c>
      <c r="I8" s="239"/>
      <c r="J8" s="238">
        <f>MAX(Oudeglorie!$AD$5:$AD$19)</f>
        <v>161.11111111111111</v>
      </c>
      <c r="K8" s="242">
        <f>VLOOKUP($H8,Oudeglorie!$B$5:$AC$19,28,0)</f>
        <v>29</v>
      </c>
      <c r="L8" s="242">
        <f>VLOOKUP($H8,Oudeglorie!$B$5:$AC$19,27,0)</f>
        <v>1</v>
      </c>
      <c r="M8" s="242"/>
      <c r="N8" s="235">
        <f>VLOOKUP($C8,Punten!$D$4:$R$139,1+$N$6,0)</f>
        <v>419.80900000000003</v>
      </c>
      <c r="O8" s="235">
        <f>VLOOKUP($C8,Punten!$C$4:$R$139,2+$O$6,0)</f>
        <v>75.309000000000012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COUNTIF(Punten!$E$104:'Punten'!$R$104,"&gt;0")</f>
        <v>7</v>
      </c>
      <c r="B9" s="146" t="str">
        <f t="shared" si="0"/>
        <v>W</v>
      </c>
      <c r="C9" s="254" t="s">
        <v>54</v>
      </c>
      <c r="D9" s="235">
        <f>Punten!$C$105</f>
        <v>416.07600000000002</v>
      </c>
      <c r="E9" s="235"/>
      <c r="F9" s="241">
        <f>Wildert1!$AA$20</f>
        <v>1640</v>
      </c>
      <c r="G9" s="237"/>
      <c r="H9" s="243" t="str">
        <f>INDEX(Wildert1!$B$5:$B$19,MATCH(MAX(Wildert1!$AD$5:$AD$19),Wildert1!$AD$5:$AD$19,0))</f>
        <v xml:space="preserve">Kustermans Toon </v>
      </c>
      <c r="I9" s="239"/>
      <c r="J9" s="238">
        <f>MAX(Wildert1!$AD$5:$AD$19)</f>
        <v>122.36842105263158</v>
      </c>
      <c r="K9" s="242">
        <f>VLOOKUP($H9,Wildert1!$B$5:$AC$19,28,0)</f>
        <v>46.5</v>
      </c>
      <c r="L9" s="242">
        <f>VLOOKUP($H9,Wildert1!$B$5:$AC$19,27,0)</f>
        <v>4</v>
      </c>
      <c r="M9" s="242"/>
      <c r="N9" s="235">
        <f>VLOOKUP($C9,Punten!$D$4:$R$139,1+$N$6,0)</f>
        <v>416.07599999999996</v>
      </c>
      <c r="O9" s="235">
        <f>VLOOKUP($C9,Punten!$C$4:$R$139,2+$O$6,0)</f>
        <v>55.336000000000006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COUNTIF(Punten!$E$18:'Punten'!$R$18,"&gt;0")</f>
        <v>7</v>
      </c>
      <c r="B10" s="146" t="str">
        <f t="shared" si="0"/>
        <v>W</v>
      </c>
      <c r="C10" s="254" t="s">
        <v>52</v>
      </c>
      <c r="D10" s="235">
        <f>Punten!$C$18</f>
        <v>412.23900000000003</v>
      </c>
      <c r="E10" s="235"/>
      <c r="F10" s="241">
        <f>Horendonk!$AA$20</f>
        <v>1129</v>
      </c>
      <c r="G10" s="237"/>
      <c r="H10" s="243" t="str">
        <f>INDEX(Horendonk!$B$5:$B$19,MATCH(MAX(Horendonk!$AD$5:$AD$19),Horendonk!$AD$5:$AD$19,0))</f>
        <v xml:space="preserve">Arnouts Louis   </v>
      </c>
      <c r="I10" s="239"/>
      <c r="J10" s="238">
        <f>MAX(Horendonk!$AD$5:$AD$19)</f>
        <v>126.11111111111111</v>
      </c>
      <c r="K10" s="242">
        <f>VLOOKUP($H10,Horendonk!$B$5:$AC$19,28,0)</f>
        <v>45.4</v>
      </c>
      <c r="L10" s="242">
        <f>VLOOKUP($H10,Horendonk!$B$5:$AC$19,27,0)</f>
        <v>5</v>
      </c>
      <c r="M10" s="242"/>
      <c r="N10" s="235">
        <f>VLOOKUP($C10,Punten!$D$4:$R$139,1+$N$6,0)</f>
        <v>412.23899999999992</v>
      </c>
      <c r="O10" s="235">
        <f>VLOOKUP($C10,Punten!$C$4:$R$139,2+$O$6,0)</f>
        <v>64.594999999999999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COUNTIF(Punten!$E$86:'Punten'!$R$86,"&gt;0")</f>
        <v>7</v>
      </c>
      <c r="B11" s="146" t="str">
        <f t="shared" si="0"/>
        <v>W</v>
      </c>
      <c r="C11" s="254" t="s">
        <v>145</v>
      </c>
      <c r="D11" s="235">
        <f>Punten!$C$87</f>
        <v>407.78800000000001</v>
      </c>
      <c r="E11" s="235"/>
      <c r="F11" s="241">
        <f>Putte!$AA$20</f>
        <v>1251</v>
      </c>
      <c r="G11" s="237"/>
      <c r="H11" s="243" t="str">
        <f>INDEX(Putte!$B$5:$B$19,MATCH(MAX(Putte!$AD$5:$AD$19),Putte!$AD$5:$AD$19,0))</f>
        <v xml:space="preserve">Schaeken Pierre </v>
      </c>
      <c r="I11" s="239"/>
      <c r="J11" s="238">
        <f>MAX(Putte!$AD$5:$AD$19)</f>
        <v>125</v>
      </c>
      <c r="K11" s="242">
        <f>VLOOKUP($H11,Putte!$B$5:$AC$19,28,0)</f>
        <v>22.5</v>
      </c>
      <c r="L11" s="242">
        <f>VLOOKUP($H11,Putte!$B$5:$AC$19,27,0)</f>
        <v>2</v>
      </c>
      <c r="M11" s="242"/>
      <c r="N11" s="235">
        <f>VLOOKUP($C11,Punten!$D$4:$R$139,1+$N$6,0)</f>
        <v>407.78800000000001</v>
      </c>
      <c r="O11" s="235">
        <f>VLOOKUP($C11,Punten!$C$4:$R$139,2+$O$6,0)</f>
        <v>66.631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COUNTIF(Punten!$E$120:'Punten'!$R$120,"&gt;0")</f>
        <v>7</v>
      </c>
      <c r="B12" s="146" t="str">
        <f t="shared" si="0"/>
        <v>W</v>
      </c>
      <c r="C12" s="254" t="s">
        <v>158</v>
      </c>
      <c r="D12" s="235">
        <f>Punten!$C$121</f>
        <v>407.58800000000002</v>
      </c>
      <c r="E12" s="235"/>
      <c r="F12" s="241">
        <f>Wildert2!$AA$20</f>
        <v>1692</v>
      </c>
      <c r="G12" s="237"/>
      <c r="H12" s="243" t="str">
        <f>INDEX(Wildert2!$B$5:$B$19,MATCH(MAX(Wildert2!$AD$5:$AD$19),Wildert2!$AD$5:$AD$19,0))</f>
        <v>Peeters Hugo   (ns)</v>
      </c>
      <c r="I12" s="239"/>
      <c r="J12" s="238">
        <f>MAX(Wildert2!$AD$5:$AD$19)</f>
        <v>147.22222222222223</v>
      </c>
      <c r="K12" s="242">
        <f>VLOOKUP($H12,Wildert2!$B$5:$AC$19,28,0)</f>
        <v>53</v>
      </c>
      <c r="L12" s="242">
        <f>VLOOKUP($H12,Wildert2!$B$5:$AC$19,27,0)</f>
        <v>1</v>
      </c>
      <c r="M12" s="250"/>
      <c r="N12" s="235">
        <f>VLOOKUP($C12,Punten!$D$4:$R$139,1+$N$6,0)</f>
        <v>407.58799999999997</v>
      </c>
      <c r="O12" s="235">
        <f>VLOOKUP($C12,Punten!$C$4:$R$139,2+$O$6,0)</f>
        <v>63.543999999999997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COUNTIF(Punten!$E$50:'Punten'!$R$50,"&gt;0")</f>
        <v>7</v>
      </c>
      <c r="B13" s="146" t="str">
        <f t="shared" si="0"/>
        <v>W</v>
      </c>
      <c r="C13" s="254" t="s">
        <v>124</v>
      </c>
      <c r="D13" s="235">
        <f>Punten!$C$51</f>
        <v>393.81499999999994</v>
      </c>
      <c r="E13" s="235"/>
      <c r="F13" s="241">
        <f>Kerkuilen!$AA$20</f>
        <v>1618</v>
      </c>
      <c r="G13" s="237"/>
      <c r="H13" s="243" t="str">
        <f>INDEX(Kerkuilen!$B$5:$B$19,MATCH(MAX(Kerkuilen!$AD$5:$AD$19),Kerkuilen!$AD$5:$AD$19,0))</f>
        <v>Jacobis Martin</v>
      </c>
      <c r="I13" s="239"/>
      <c r="J13" s="238">
        <f>MAX(Kerkuilen!$AD$5:$AD$19)</f>
        <v>131.4814814814815</v>
      </c>
      <c r="K13" s="242">
        <f>VLOOKUP($H13,Kerkuilen!$B$5:$AC$19,28,0)</f>
        <v>35.5</v>
      </c>
      <c r="L13" s="242">
        <f>VLOOKUP($H13,Kerkuilen!$B$5:$AC$19,27,0)</f>
        <v>2</v>
      </c>
      <c r="M13" s="242"/>
      <c r="N13" s="235">
        <f>VLOOKUP($C13,Punten!$D$4:$R$139,1+$N$6,0)</f>
        <v>393.81499999999994</v>
      </c>
      <c r="O13" s="235">
        <f>VLOOKUP($C13,Punten!$C$4:$R$139,2+$O$6,0)</f>
        <v>55.644000000000005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COUNTIF(Punten!$E$138:'Punten'!$R$138,"&gt;0")</f>
        <v>7</v>
      </c>
      <c r="B14" s="146" t="str">
        <f t="shared" si="0"/>
        <v>W</v>
      </c>
      <c r="C14" s="254" t="s">
        <v>85</v>
      </c>
      <c r="D14" s="235">
        <f>Punten!$C$139</f>
        <v>382.51799999999997</v>
      </c>
      <c r="E14" s="235"/>
      <c r="F14" s="241">
        <f>DeSpil!$AA$20</f>
        <v>1055</v>
      </c>
      <c r="G14" s="237"/>
      <c r="H14" s="243" t="str">
        <f>INDEX(DeSpil!$B$5:$B$19,MATCH(MAX(DeSpil!$AD$5:$AD$19),DeSpil!$AD$5:$AD$19,0))</f>
        <v>Elst Jan</v>
      </c>
      <c r="I14" s="239"/>
      <c r="J14" s="238">
        <f>MAX(DeSpil!$AD$5:$AD$19)</f>
        <v>123.33333333333334</v>
      </c>
      <c r="K14" s="242">
        <f>VLOOKUP($H14,DeSpil!$B$5:$AC$19,28,0)</f>
        <v>29.6</v>
      </c>
      <c r="L14" s="242">
        <f>VLOOKUP($H14,DeSpil!$B$5:$AC$19,27,0)</f>
        <v>5</v>
      </c>
      <c r="M14" s="242"/>
      <c r="N14" s="235">
        <f>VLOOKUP($C14,Punten!$D$4:$R$139,1+$N$6,0)</f>
        <v>382.51799999999992</v>
      </c>
      <c r="O14" s="235">
        <f>VLOOKUP($C14,Punten!$C$4:$R$139,2+$O$6,0)</f>
        <v>57.513000000000005</v>
      </c>
      <c r="P14"/>
      <c r="Q14"/>
      <c r="R14"/>
      <c r="S14"/>
      <c r="T14" s="251"/>
      <c r="U14"/>
      <c r="V14"/>
    </row>
    <row r="15" spans="1:22" s="67" customFormat="1" ht="20.100000000000001" customHeight="1">
      <c r="A15" s="145">
        <f>COUNTIF(Punten!$E$31:'Punten'!$R$31,"&gt;0")</f>
        <v>7</v>
      </c>
      <c r="B15" s="146" t="str">
        <f t="shared" si="0"/>
        <v>W</v>
      </c>
      <c r="C15" s="254" t="s">
        <v>216</v>
      </c>
      <c r="D15" s="235">
        <f>Punten!$C$32</f>
        <v>360.62400000000002</v>
      </c>
      <c r="E15" s="235"/>
      <c r="F15" s="241">
        <f>Nispen!$AA$20</f>
        <v>889</v>
      </c>
      <c r="G15" s="237"/>
      <c r="H15" s="243" t="str">
        <f>INDEX(Nispen!$B$5:$B$19,MATCH(MAX(Nispen!$AD$5:$AD$19),Nispen!$AD$5:$AD$19,0))</f>
        <v>Martens Gerrit</v>
      </c>
      <c r="I15" s="239"/>
      <c r="J15" s="238">
        <f>MAX(Nispen!$AD$5:$AD$19)</f>
        <v>128.33333333333334</v>
      </c>
      <c r="K15" s="242">
        <f>VLOOKUP($H15,Nispen!$B$5:$AC$19,28,0)</f>
        <v>19.25</v>
      </c>
      <c r="L15" s="242">
        <f>VLOOKUP($H15,Nispen!$B$5:$AC$19,27,0)</f>
        <v>4</v>
      </c>
      <c r="M15" s="242"/>
      <c r="N15" s="235">
        <f>VLOOKUP($C15,Punten!$D$4:$R$139,1+$N$6,0)</f>
        <v>360.62399999999997</v>
      </c>
      <c r="O15" s="235">
        <f>VLOOKUP($C15,Punten!$C$4:$R$139,2+$O$6,0)</f>
        <v>52.099000000000004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4" priority="14" operator="equal">
      <formula>0</formula>
    </cfRule>
  </conditionalFormatting>
  <conditionalFormatting sqref="C8">
    <cfRule type="expression" dxfId="73" priority="3">
      <formula>A1=2</formula>
    </cfRule>
    <cfRule type="expression" dxfId="72" priority="8">
      <formula>$A$1&lt;&gt;1</formula>
    </cfRule>
  </conditionalFormatting>
  <conditionalFormatting sqref="C15">
    <cfRule type="expression" dxfId="71" priority="1">
      <formula>A1=2</formula>
    </cfRule>
    <cfRule type="expression" dxfId="70" priority="2">
      <formula>$A$1&lt;&gt;1</formula>
    </cfRule>
  </conditionalFormatting>
  <conditionalFormatting sqref="F6:M15 C7">
    <cfRule type="expression" dxfId="69" priority="34">
      <formula>$A$1&lt;1</formula>
    </cfRule>
  </conditionalFormatting>
  <conditionalFormatting sqref="F5:O15">
    <cfRule type="expression" dxfId="68" priority="4">
      <formula>$A$1&gt;2</formula>
    </cfRule>
  </conditionalFormatting>
  <conditionalFormatting sqref="N5:O15">
    <cfRule type="expression" dxfId="67" priority="6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showRowColHeaders="0" topLeftCell="A68" zoomScaleNormal="100" workbookViewId="0">
      <selection activeCell="M78" sqref="M78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260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5</v>
      </c>
      <c r="B8" s="53" t="str">
        <f>Horendonk!B8</f>
        <v>De Backer Jef</v>
      </c>
      <c r="C8" s="55">
        <f>IF(Horendonk!AA8=0," ",SUM(E8:R8))</f>
        <v>43.6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4</v>
      </c>
      <c r="B9" s="53" t="str">
        <f>Horendonk!B9</f>
        <v>Herreygers Remy</v>
      </c>
      <c r="C9" s="55">
        <f>IF(Horendonk!AA9=0," ",SUM(E9:R9))</f>
        <v>35.582000000000001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5</v>
      </c>
      <c r="B11" s="53" t="str">
        <f>Horendonk!B11</f>
        <v xml:space="preserve">Nelen Johan       </v>
      </c>
      <c r="C11" s="55">
        <f>IF(Horendonk!AA11=0," ",SUM(E11:R11))</f>
        <v>37.646999999999998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4</v>
      </c>
      <c r="B12" s="53" t="str">
        <f>Horendonk!B12</f>
        <v>Oerlemans Willy</v>
      </c>
      <c r="C12" s="55">
        <f>IF(Horendonk!AA12=0," ",SUM(E12:R12))</f>
        <v>39.286000000000001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2</v>
      </c>
      <c r="B13" s="53" t="str">
        <f>Horendonk!B13</f>
        <v>Siemons Jos</v>
      </c>
      <c r="C13" s="55">
        <f>IF(Horendonk!AA13=0," ",SUM(E13:R13))</f>
        <v>20.869999999999997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5</v>
      </c>
      <c r="B14" s="53" t="str">
        <f>Horendonk!B14</f>
        <v>van Aert André</v>
      </c>
      <c r="C14" s="55">
        <f>IF(Horendonk!AA14=0," ",SUM(E14:R14))</f>
        <v>58.332999999999998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2</v>
      </c>
      <c r="B16" s="53" t="str">
        <f>Horendonk!B16</f>
        <v>Vergouwen René</v>
      </c>
      <c r="C16" s="55">
        <f>IF(Horendonk!AA16=0," ",SUM(E16:R16))</f>
        <v>22.414000000000001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412.23900000000003</v>
      </c>
      <c r="D18" s="234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250</v>
      </c>
      <c r="E20" s="52">
        <v>1</v>
      </c>
      <c r="F20" s="52">
        <v>2</v>
      </c>
      <c r="G20" s="260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8</v>
      </c>
      <c r="B21" s="53" t="str">
        <f>Nispen!B5</f>
        <v>Kerstens Jac</v>
      </c>
      <c r="C21" s="55">
        <f>IF(Nispen!AA5=0," ",SUM(E21:R21))</f>
        <v>62</v>
      </c>
      <c r="E21" s="60">
        <f>IF(Nispen!D5=(""),(""),ROUND(Nispen!D5/Nispen!$C5*10,3))</f>
        <v>7.5</v>
      </c>
      <c r="F21" s="258">
        <f>IF(Nispen!E5=(""),(""),ROUND(Nispen!E5/Nispen!$C5*10,3))</f>
        <v>5.25</v>
      </c>
      <c r="G21" s="60">
        <f>IF(Nispen!F5=(""),(""),ROUND(Nispen!F5/Nispen!$C5*10,3))</f>
        <v>7.5</v>
      </c>
      <c r="H21" s="257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257">
        <f>IF(Nispen!P5=(""),(""),ROUND(Nispen!P5/Nispen!$O5*10,3))</f>
        <v>12.5</v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4</v>
      </c>
      <c r="B22" s="53" t="str">
        <f>Nispen!B6</f>
        <v>Martens Gerrit</v>
      </c>
      <c r="C22" s="55">
        <f>IF(Nispen!AA6=0," ",SUM(E22:R22))</f>
        <v>51.334000000000003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5</v>
      </c>
      <c r="B23" s="53" t="str">
        <f>Nispen!B7</f>
        <v>Raats Antoon</v>
      </c>
      <c r="C23" s="55">
        <f>IF(Nispen!AA7=0," ",SUM(E23:R23))</f>
        <v>44.444000000000003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57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5</v>
      </c>
      <c r="B24" s="53" t="str">
        <f>Nispen!B8</f>
        <v>Schrauwen Jeanne</v>
      </c>
      <c r="C24" s="55">
        <f>IF(Nispen!AA8=0," ",SUM(E24:R24))</f>
        <v>47.778999999999996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57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58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6</v>
      </c>
      <c r="B27" s="53" t="str">
        <f>Nispen!B11</f>
        <v>Thielen Jef</v>
      </c>
      <c r="C27" s="55">
        <f>IF(Nispen!AA11=0," ",SUM(E27:R27))</f>
        <v>52.5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57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5</v>
      </c>
      <c r="B28" s="53" t="str">
        <f>Nispen!B12</f>
        <v xml:space="preserve">Uijtdehaag Nico </v>
      </c>
      <c r="C28" s="55">
        <f>IF(Nispen!AA12=0," ",SUM(E28:R28))</f>
        <v>44.783000000000001</v>
      </c>
      <c r="E28" s="60">
        <f>IF(Nispen!D12=(""),(""),ROUND(Nispen!D12/Nispen!$C12*10,3))</f>
        <v>8.2609999999999992</v>
      </c>
      <c r="F28" s="258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4</v>
      </c>
      <c r="B29" s="62" t="str">
        <f>Nispen!B13</f>
        <v>Van Turnhout Herman [NS 20]</v>
      </c>
      <c r="C29" s="55">
        <f>IF(Nispen!AA13=0," ",SUM(E29:R29))</f>
        <v>19</v>
      </c>
      <c r="E29" s="100">
        <f>IF(Nispen!D13=(""),(""),ROUND(Nispen!D13/20*10,3))</f>
        <v>7.5</v>
      </c>
      <c r="F29" s="261">
        <f>IF(Nispen!E13=(""),(""),ROUND(Nispen!E13/20*10,3))</f>
        <v>2</v>
      </c>
      <c r="G29" s="261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3</v>
      </c>
      <c r="B30" s="53" t="str">
        <f>Nispen!B14</f>
        <v xml:space="preserve">Van Wesel Jos </v>
      </c>
      <c r="C30" s="55">
        <f>IF(Nispen!AA14=0," ",SUM(E30:R30))</f>
        <v>26.817999999999998</v>
      </c>
      <c r="E30" s="60" t="str">
        <f>IF(Nispen!D14=(""),(""),ROUND(Nispen!D14/Nispen!$C14*10,3))</f>
        <v/>
      </c>
      <c r="F30" s="258">
        <f>IF(Nispen!E14=(""),(""),ROUND(Nispen!E14/Nispen!$C14*10,3))</f>
        <v>10</v>
      </c>
      <c r="G30" s="60">
        <f>IF(Nispen!F14=(""),(""),ROUND(Nispen!F14/Nispen!$C14*10,3))</f>
        <v>10</v>
      </c>
      <c r="H30" s="257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"),SUM(H21:H30))+L21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"),SUM(L21:L30))-L21</f>
        <v>0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360.62400000000002</v>
      </c>
      <c r="D32" s="234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360.62399999999997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3</v>
      </c>
      <c r="B35" s="53" t="str">
        <f>Kerkuilen!B5</f>
        <v>Antonissen Gust</v>
      </c>
      <c r="C35" s="55">
        <f>IF(Kerkuilen!AA5=0," ",SUM(E35:R35))</f>
        <v>37.058999999999997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4</v>
      </c>
      <c r="B36" s="53" t="str">
        <f>Kerkuilen!B6</f>
        <v>De Kaey Piet</v>
      </c>
      <c r="C36" s="55">
        <f>IF(Kerkuilen!AA6=0," ",SUM(E36:R36))</f>
        <v>51.631999999999998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5</v>
      </c>
      <c r="B38" s="53" t="str">
        <f>Kerkuilen!B8</f>
        <v>Hectors Hugo</v>
      </c>
      <c r="C38" s="55">
        <f>IF(Kerkuilen!AA8=0," ",SUM(E38:R38))</f>
        <v>49.445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2</v>
      </c>
      <c r="B39" s="53" t="str">
        <f>Kerkuilen!B9</f>
        <v>Jacobis Martin</v>
      </c>
      <c r="C39" s="55">
        <f>IF(Kerkuilen!AA9=0," ",SUM(E39:R39))</f>
        <v>26.295999999999999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3</v>
      </c>
      <c r="B43" s="53" t="str">
        <f>Kerkuilen!B13</f>
        <v>Pleysier Luc</v>
      </c>
      <c r="C43" s="55">
        <f>IF(Kerkuilen!AA13=0," ",SUM(E43:R43))</f>
        <v>24.138000000000002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3</v>
      </c>
      <c r="B47" s="62" t="str">
        <f>Kerkuilen!B17</f>
        <v>Van Ginneken Cyriel [NS 20]</v>
      </c>
      <c r="C47" s="55">
        <f>IF(Kerkuilen!AA17=0," ",SUM(E47:R47))</f>
        <v>29.5</v>
      </c>
      <c r="E47" s="100">
        <f>IF(Kerkuilen!D17=(""),(""),ROUND(Kerkuilen!D17/20*10,3))</f>
        <v>12</v>
      </c>
      <c r="F47" s="100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3</v>
      </c>
      <c r="B48" s="62" t="str">
        <f>Kerkuilen!B18</f>
        <v>Van Oers Danny [NS 50]</v>
      </c>
      <c r="C48" s="55">
        <f>IF(Kerkuilen!AA18=0," ",SUM(E48:R48))</f>
        <v>18.399999999999999</v>
      </c>
      <c r="E48" s="60" t="str">
        <f>IF(Kerkuilen!D18=(""),(""),ROUND(Kerkuilen!D18/Kerkuilen!$C18*10,3))</f>
        <v/>
      </c>
      <c r="F48" s="100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100">
        <f>IF(Kerkuilen!H18=(""),(""),ROUND(Kerkuilen!H18/50*10,3))</f>
        <v>6</v>
      </c>
      <c r="J48" s="100">
        <f>IF(Kerkuilen!I18=(""),(""),ROUND(Kerkuilen!I18/50*10,3))</f>
        <v>5.6</v>
      </c>
      <c r="K48" s="10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393.81499999999994</v>
      </c>
      <c r="D51" s="234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3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3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3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3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3</v>
      </c>
      <c r="B59" s="103" t="str">
        <f>Oudeglorie!B10</f>
        <v>Gommers Jac</v>
      </c>
      <c r="C59" s="55">
        <f>IF(Oudeglorie!AA10=0," ",SUM(E59:R59))</f>
        <v>44.375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3</v>
      </c>
      <c r="B61" s="103" t="str">
        <f>Oudeglorie!B12</f>
        <v>Jacobs Frans</v>
      </c>
      <c r="C61" s="55">
        <f>IF(Oudeglorie!AA12=0," ",SUM(E61:R61))</f>
        <v>26.032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3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20" t="str">
        <f>Oudeglorie!B14</f>
        <v>Nelen Jef  (ns)</v>
      </c>
      <c r="C63" s="55">
        <f>IF(Oudeglorie!AA14=0," ",SUM(E63:R63))</f>
        <v>21.6</v>
      </c>
      <c r="E63" s="100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100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3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3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3</v>
      </c>
      <c r="B66" s="103" t="str">
        <f>Oudeglorie!B17</f>
        <v>Van Overvelt Ludo</v>
      </c>
      <c r="C66" s="55">
        <f>IF(Oudeglorie!AA17=0," ",SUM(E66:R66))</f>
        <v>26.579000000000001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4</v>
      </c>
      <c r="B67" s="103" t="str">
        <f>Oudeglorie!B18</f>
        <v>Willemsen Willy</v>
      </c>
      <c r="C67" s="55">
        <f>IF(Oudeglorie!AA18=0," ",SUM(E67:R67))</f>
        <v>35.262999999999998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>
        <f t="shared" si="10"/>
        <v>64.992999999999995</v>
      </c>
      <c r="I68" s="176">
        <f t="shared" si="10"/>
        <v>71.284000000000006</v>
      </c>
      <c r="J68" s="176">
        <f t="shared" si="10"/>
        <v>47.463000000000001</v>
      </c>
      <c r="K68" s="176">
        <f t="shared" si="10"/>
        <v>75.309000000000012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419.80900000000003</v>
      </c>
      <c r="D69" s="234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>
        <f t="shared" si="11"/>
        <v>225.75299999999999</v>
      </c>
      <c r="I69" s="177">
        <f t="shared" si="11"/>
        <v>297.03699999999998</v>
      </c>
      <c r="J69" s="177">
        <f t="shared" si="11"/>
        <v>344.5</v>
      </c>
      <c r="K69" s="177">
        <f t="shared" si="11"/>
        <v>419.80900000000003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4</v>
      </c>
      <c r="B73" s="53" t="str">
        <f>Putte!B5</f>
        <v>Anthonissen Paul</v>
      </c>
      <c r="C73" s="55">
        <f>IF(Putte!AA5=0," ",SUM(E73:R73))</f>
        <v>47.5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4</v>
      </c>
      <c r="B74" s="53" t="str">
        <f>Putte!B6</f>
        <v>De Beukelaer Freddy</v>
      </c>
      <c r="C74" s="55">
        <f>IF(Putte!AA6=0," ",SUM(E74:R74))</f>
        <v>44.545000000000002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7</v>
      </c>
      <c r="B75" s="53" t="str">
        <f>Putte!B7</f>
        <v xml:space="preserve">Eyckmans Luc  </v>
      </c>
      <c r="C75" s="55">
        <f>IF(Putte!AA7=0," ",SUM(E75:R75))</f>
        <v>75.238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5</v>
      </c>
      <c r="B76" s="53" t="str">
        <f>Putte!B8</f>
        <v>Evers Henri</v>
      </c>
      <c r="C76" s="55">
        <f>IF(Putte!AA8=0," ",SUM(E76:R76))</f>
        <v>34.119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6</v>
      </c>
      <c r="B79" s="53" t="str">
        <f>Putte!B11</f>
        <v>Plompen Dirk</v>
      </c>
      <c r="C79" s="55">
        <f>IF(Putte!AA11=0," ",SUM(E79:R79))</f>
        <v>69.141999999999996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2</v>
      </c>
      <c r="B80" s="53" t="str">
        <f>Putte!B12</f>
        <v xml:space="preserve">Schaeken Pierre </v>
      </c>
      <c r="C80" s="55">
        <f>IF(Putte!AA12=0," ",SUM(E80:R80))</f>
        <v>25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3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96" t="str">
        <f>B72</f>
        <v>SEN. PUTTE</v>
      </c>
      <c r="D86" s="59"/>
      <c r="E86" s="60">
        <f>IF(SUM(E73:E85)=0,(" "),SUM(E73:E85))</f>
        <v>42.436</v>
      </c>
      <c r="F86" s="60">
        <f>IF(SUM(F73:F85)=0,(" "),SUM(F73:F85))</f>
        <v>50.713999999999999</v>
      </c>
      <c r="G86" s="60">
        <f>IF(SUM(G73:G85)=0,(" "),SUM(G73:G85))</f>
        <v>56.923000000000002</v>
      </c>
      <c r="H86" s="60">
        <f>IF(SUM(H73:H85)=0,(" "),SUM(H73:H85))</f>
        <v>59.855000000000004</v>
      </c>
      <c r="I86" s="60">
        <f>IF(SUM(I73:I85)=0,(" "),SUM(I73:I85))</f>
        <v>68.623999999999995</v>
      </c>
      <c r="J86" s="60">
        <f>IF(SUM(J73:J85)=0,(" "),SUM(J73:J85))</f>
        <v>62.605000000000004</v>
      </c>
      <c r="K86" s="60">
        <f>IF(SUM(K73:K85)=0,(" "),SUM(K73:K85))</f>
        <v>66.631</v>
      </c>
      <c r="L86" s="60" t="str">
        <f>IF(SUM(L73:L85)=0,(" "),SUM(L73:L85))</f>
        <v xml:space="preserve"> </v>
      </c>
      <c r="M86" s="60" t="str">
        <f>IF(SUM(M73:M85)=0,(" "),SUM(M73:M85))</f>
        <v xml:space="preserve"> </v>
      </c>
      <c r="N86" s="60" t="str">
        <f>IF(SUM(N73:N85)=0,(" "),SUM(N73:N85))</f>
        <v xml:space="preserve"> </v>
      </c>
      <c r="O86" s="60" t="str">
        <f>IF(SUM(O73:O85)=0,(" "),SUM(O73:O85))</f>
        <v xml:space="preserve"> </v>
      </c>
      <c r="P86" s="60" t="str">
        <f>IF(SUM(P73:P85)=0,(" "),SUM(P73:P85))</f>
        <v xml:space="preserve"> </v>
      </c>
      <c r="Q86" s="60" t="str">
        <f>IF(SUM(Q73:Q85)=0,(" "),SUM(Q73:Q85))</f>
        <v xml:space="preserve"> </v>
      </c>
      <c r="R86" s="60" t="str">
        <f>IF(SUM(R73:R85)=0,(" "),SUM(R73:R85))</f>
        <v xml:space="preserve"> </v>
      </c>
    </row>
    <row r="87" spans="1:18" ht="15" customHeight="1">
      <c r="C87" s="65">
        <f>SUM(C73:C84)</f>
        <v>407.78800000000001</v>
      </c>
      <c r="D87" s="234" t="str">
        <f>B72</f>
        <v>SEN. PUTTE</v>
      </c>
      <c r="E87" s="64">
        <f>IF(E86=(" "),(" "),E86)</f>
        <v>42.436</v>
      </c>
      <c r="F87" s="64">
        <f t="shared" ref="F87:R87" si="14">IF(F86=(" "),(" "),E87+F86)</f>
        <v>93.15</v>
      </c>
      <c r="G87" s="64">
        <f t="shared" si="14"/>
        <v>150.07300000000001</v>
      </c>
      <c r="H87" s="64">
        <f t="shared" si="14"/>
        <v>209.928</v>
      </c>
      <c r="I87" s="64">
        <f t="shared" si="14"/>
        <v>278.55200000000002</v>
      </c>
      <c r="J87" s="64">
        <f t="shared" si="14"/>
        <v>341.15700000000004</v>
      </c>
      <c r="K87" s="64">
        <f t="shared" si="14"/>
        <v>407.78800000000001</v>
      </c>
      <c r="L87" s="64" t="str">
        <f t="shared" si="14"/>
        <v xml:space="preserve"> </v>
      </c>
      <c r="M87" s="64" t="str">
        <f t="shared" si="14"/>
        <v xml:space="preserve"> </v>
      </c>
      <c r="N87" s="137" t="str">
        <f t="shared" si="14"/>
        <v xml:space="preserve"> </v>
      </c>
      <c r="O87" s="64" t="str">
        <f t="shared" si="14"/>
        <v xml:space="preserve"> </v>
      </c>
      <c r="P87" s="64" t="str">
        <f t="shared" si="14"/>
        <v xml:space="preserve"> </v>
      </c>
      <c r="Q87" s="64" t="str">
        <f t="shared" si="14"/>
        <v xml:space="preserve"> </v>
      </c>
      <c r="R87" s="64" t="str">
        <f t="shared" si="14"/>
        <v xml:space="preserve"> </v>
      </c>
    </row>
    <row r="88" spans="1:18" ht="25.2" customHeight="1"/>
    <row r="89" spans="1:18" ht="15" customHeight="1">
      <c r="A89" s="52">
        <f>IF(SUM(E90:R90)=0,(" "),COUNTIF(E90:R90,"&gt;0"))</f>
        <v>2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2</v>
      </c>
      <c r="B90" s="53" t="str">
        <f>Wildert1!B5</f>
        <v>Adriaansen Jan</v>
      </c>
      <c r="C90" s="55">
        <f>IF(Wildert1!AA5=0," ",SUM(E90:R90))</f>
        <v>18.234999999999999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 t="str">
        <f>IF(Wildert1!P5=(""),(""),ROUND(Wildert1!P5/Wildert1!$O5*10,3))</f>
        <v/>
      </c>
      <c r="M90" s="60" t="str">
        <f>IF(Wildert1!Q5=(""),(""),ROUND(Wildert1!Q5/Wildert1!$O5*10,3))</f>
        <v/>
      </c>
      <c r="N90" s="60" t="str">
        <f>IF(Wildert1!R5=(""),(""),ROUND(Wildert1!R5/Wildert1!$O5*10,3))</f>
        <v/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5">IF(SUM(E91:R91)=0,(" "),COUNTIF(E91:R91,"&gt;0"))</f>
        <v>6</v>
      </c>
      <c r="B91" s="53" t="str">
        <f>Wildert1!B6</f>
        <v>Brouwers Adri</v>
      </c>
      <c r="C91" s="55">
        <f>IF(Wildert1!AA6=0," ",SUM(E91:R91))</f>
        <v>61.110999999999997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 t="str">
        <f>IF(Wildert1!Q6=(""),(""),ROUND(Wildert1!Q6/Wildert1!$O6*10,3))</f>
        <v/>
      </c>
      <c r="N91" s="60" t="str">
        <f>IF(Wildert1!R6=(""),(""),ROUND(Wildert1!R6/Wildert1!$O6*10,3))</f>
        <v/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5"/>
        <v>4</v>
      </c>
      <c r="B92" s="62" t="str">
        <f>Wildert1!B7</f>
        <v>Buijk Jan [NS 55]</v>
      </c>
      <c r="C92" s="55">
        <f>IF(Wildert1!AA7=0," ",SUM(E92:R92))</f>
        <v>43.08</v>
      </c>
      <c r="E92" s="100">
        <f>IF(Wildert1!D7=(""),(""),ROUND(Wildert1!D7/55*10,3))</f>
        <v>7.2729999999999997</v>
      </c>
      <c r="F92" s="60" t="str">
        <f>IF(Wildert1!E7=(""),(""),ROUND(Wildert1!E7/Wildert1!$C7*10,3))</f>
        <v/>
      </c>
      <c r="G92" s="100">
        <f>IF(Wildert1!F7=(""),(""),ROUND(Wildert1!F7/55*10,3))</f>
        <v>16</v>
      </c>
      <c r="H92" s="60" t="str">
        <f>IF(Wildert1!G7=(""),(""),ROUND(Wildert1!G7/Wildert1!$C7*10,3))</f>
        <v/>
      </c>
      <c r="I92" s="100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 t="str">
        <f>IF(Wildert1!Q7=(""),(""),ROUND(Wildert1!Q7/Wildert1!$O7*10,3))</f>
        <v/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5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5"/>
        <v>5</v>
      </c>
      <c r="B94" s="53" t="str">
        <f>Wildert1!B9</f>
        <v>Dries Louis</v>
      </c>
      <c r="C94" s="55">
        <f>IF(Wildert1!AA9=0," ",SUM(E94:R94))</f>
        <v>52.068000000000005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 t="str">
        <f>IF(Wildert1!P9=(""),(""),ROUND(Wildert1!P9/Wildert1!$O9*10,3))</f>
        <v/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5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 t="str">
        <f t="shared" si="15"/>
        <v xml:space="preserve"> </v>
      </c>
      <c r="B96" s="53" t="str">
        <f>Wildert1!B11</f>
        <v>Kerstens Ronald</v>
      </c>
      <c r="C96" s="55" t="str">
        <f>IF(Wildert1!AA11=0," ",SUM(E96:R96))</f>
        <v xml:space="preserve"> 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 t="str">
        <f>IF(Wildert1!P11=(""),(""),ROUND(Wildert1!P11/Wildert1!$O11*10,3))</f>
        <v/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5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5"/>
        <v>4</v>
      </c>
      <c r="B98" s="53" t="str">
        <f>Wildert1!B13</f>
        <v xml:space="preserve">Kustermans Toon </v>
      </c>
      <c r="C98" s="55">
        <f>IF(Wildert1!AA13=0," ",SUM(E98:R98))</f>
        <v>48.948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 t="str">
        <f>IF(Wildert1!P13=(""),(""),ROUND(Wildert1!P13/Wildert1!$O13*10,3))</f>
        <v/>
      </c>
      <c r="M98" s="60" t="str">
        <f>IF(Wildert1!Q13=(""),(""),ROUND(Wildert1!Q13/Wildert1!$O13*10,3))</f>
        <v/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5"/>
        <v>6</v>
      </c>
      <c r="B99" s="53" t="str">
        <f>Wildert1!B14</f>
        <v>Sarra-Ribo Jef</v>
      </c>
      <c r="C99" s="55">
        <f>IF(Wildert1!AA14=0," ",SUM(E99:R99))</f>
        <v>49.884999999999998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 t="str">
        <f>IF(Wildert1!P14=(""),(""),ROUND(Wildert1!P14/Wildert1!$O14*10,3))</f>
        <v/>
      </c>
      <c r="M99" s="60" t="str">
        <f>IF(Wildert1!Q14=(""),(""),ROUND(Wildert1!Q14/Wildert1!$O14*10,3))</f>
        <v/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5"/>
        <v>3</v>
      </c>
      <c r="B100" s="53" t="str">
        <f>Wildert1!B15</f>
        <v>Sas Ronny</v>
      </c>
      <c r="C100" s="55">
        <f>IF(Wildert1!AA15=0," ",SUM(E100:R100))</f>
        <v>29.354999999999997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 t="str">
        <f>IF(Wildert1!Q15=(""),(""),ROUND(Wildert1!Q15/Wildert1!$O15*10,3))</f>
        <v/>
      </c>
      <c r="N100" s="60" t="str">
        <f>IF(Wildert1!R15=(""),(""),ROUND(Wildert1!R15/Wildert1!$O15*10,3))</f>
        <v/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5"/>
        <v>2</v>
      </c>
      <c r="B101" s="53" t="str">
        <f>Wildert1!B16</f>
        <v>Thijs Jef</v>
      </c>
      <c r="C101" s="55">
        <f>IF(Wildert1!AA16=0," ",SUM(E101:R101))</f>
        <v>23.334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 t="str">
        <f>IF(Wildert1!Q16=(""),(""),ROUND(Wildert1!Q16/Wildert1!$O16*10,3))</f>
        <v/>
      </c>
      <c r="N101" s="60" t="str">
        <f>IF(Wildert1!R16=(""),(""),ROUND(Wildert1!R16/Wildert1!$O16*10,3))</f>
        <v/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5"/>
        <v>2</v>
      </c>
      <c r="B102" s="62" t="str">
        <f>Wildert1!B17</f>
        <v>Wetzer Rik  (ns)</v>
      </c>
      <c r="C102" s="55">
        <f>IF(Wildert1!AA17=0," ",SUM(E102:R102))</f>
        <v>13</v>
      </c>
      <c r="E102" s="60" t="str">
        <f>IF(Wildert1!D17=(""),(""),ROUND(Wildert1!D17/Wildert1!$C17*10,3))</f>
        <v/>
      </c>
      <c r="F102" s="100">
        <f>IF(Wildert1!E17=(""),(""),ROUND(Wildert1!E17/20*10,3))</f>
        <v>9</v>
      </c>
      <c r="G102" s="100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60" t="str">
        <f>IF(Wildert1!R17=(""),(""),ROUND(Wildert1!R17/Wildert1!$O17*10,3))</f>
        <v/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 t="str">
        <f t="shared" si="15"/>
        <v xml:space="preserve"> </v>
      </c>
      <c r="B103" s="62" t="str">
        <f>Wildert1!B18</f>
        <v>Seymus Eddy (ns)</v>
      </c>
      <c r="C103" s="55" t="str">
        <f>IF(Wildert1!AA18=0," ",SUM(E103:R103))</f>
        <v xml:space="preserve"> </v>
      </c>
      <c r="E103" s="60" t="str">
        <f>IF(Wildert1!D18=(""),(""),ROUND(Wildert1!D18/Wildert1!$C18*10,3))</f>
        <v/>
      </c>
      <c r="F103" s="100" t="str">
        <f>IF(Wildert1!E18=(""),(""),ROUND(Wildert1!E18/20*10,3))</f>
        <v/>
      </c>
      <c r="G103" s="100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 t="str">
        <f>IF(Wildert1!P18=(""),(""),ROUND(Wildert1!P18/Wildert1!$O18*10,3))</f>
        <v/>
      </c>
      <c r="M103" s="60" t="str">
        <f>IF(Wildert1!Q18=(""),(""),ROUND(Wildert1!Q18/Wildert1!$O18*10,3))</f>
        <v/>
      </c>
      <c r="N103" s="60" t="str">
        <f>IF(Wildert1!R18=(""),(""),ROUND(Wildert1!R18/Wildert1!$O18*10,3))</f>
        <v/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97" t="str">
        <f>B89</f>
        <v>WILDERT 1</v>
      </c>
      <c r="D104" s="59"/>
      <c r="E104" s="60">
        <f>IF(SUM(E90:E103)=0,(" "),SUM(E90:E103))</f>
        <v>51.466000000000001</v>
      </c>
      <c r="F104" s="60">
        <f>IF(SUM(F90:F103)=0,(" "),SUM(F90:F103))</f>
        <v>69.52600000000001</v>
      </c>
      <c r="G104" s="60">
        <f>IF(SUM(G90:G103)=0,(" "),SUM(G90:G103))</f>
        <v>60.034000000000006</v>
      </c>
      <c r="H104" s="60">
        <f>IF(SUM(H90:H103)=0,(" "),SUM(H90:H103))</f>
        <v>46.199999999999996</v>
      </c>
      <c r="I104" s="60">
        <f>IF(SUM(I90:I103)=0,(" "),SUM(I90:I103))</f>
        <v>72.231999999999999</v>
      </c>
      <c r="J104" s="60">
        <f>IF(SUM(J90:J103)=0,(" "),SUM(J90:J103))</f>
        <v>61.281999999999996</v>
      </c>
      <c r="K104" s="60">
        <f>IF(SUM(K90:K103)=0,(" "),SUM(K90:K103))</f>
        <v>55.336000000000006</v>
      </c>
      <c r="L104" s="60" t="str">
        <f>IF(SUM(L90:L103)=0,(" "),SUM(L90:L103))</f>
        <v xml:space="preserve"> </v>
      </c>
      <c r="M104" s="60" t="str">
        <f>IF(SUM(M90:M103)=0,(" "),SUM(M90:M103))</f>
        <v xml:space="preserve"> </v>
      </c>
      <c r="N104" s="136" t="str">
        <f>IF(SUM(N90:N103)=0,(" "),SUM(N90:N103))</f>
        <v xml:space="preserve"> </v>
      </c>
      <c r="O104" s="60" t="str">
        <f>IF(SUM(O90:O103)=0,(" "),SUM(O90:O103))</f>
        <v xml:space="preserve"> </v>
      </c>
      <c r="P104" s="60" t="str">
        <f>IF(SUM(P90:P103)=0,(" "),SUM(P90:P103))</f>
        <v xml:space="preserve"> </v>
      </c>
      <c r="Q104" s="60" t="str">
        <f>IF(SUM(Q90:Q103)=0,(" "),SUM(Q90:Q103))</f>
        <v xml:space="preserve"> </v>
      </c>
      <c r="R104" s="60" t="str">
        <f>IF(SUM(R90:R103)=0,(" "),SUM(R90:R103))</f>
        <v xml:space="preserve"> </v>
      </c>
    </row>
    <row r="105" spans="1:18" ht="15" customHeight="1">
      <c r="C105" s="65">
        <f>SUM(C90:C102)</f>
        <v>416.07600000000002</v>
      </c>
      <c r="D105" s="234" t="str">
        <f>B89</f>
        <v>WILDERT 1</v>
      </c>
      <c r="E105" s="64">
        <f>IF(E104=(" "),(" "),E104)</f>
        <v>51.466000000000001</v>
      </c>
      <c r="F105" s="64">
        <f t="shared" ref="F105:M105" si="16">IF(F104=(" "),(" "),E105+F104)</f>
        <v>120.99200000000002</v>
      </c>
      <c r="G105" s="64">
        <f t="shared" si="16"/>
        <v>181.02600000000001</v>
      </c>
      <c r="H105" s="64">
        <f t="shared" si="16"/>
        <v>227.226</v>
      </c>
      <c r="I105" s="64">
        <f t="shared" si="16"/>
        <v>299.45799999999997</v>
      </c>
      <c r="J105" s="64">
        <f t="shared" si="16"/>
        <v>360.73999999999995</v>
      </c>
      <c r="K105" s="64">
        <f t="shared" si="16"/>
        <v>416.07599999999996</v>
      </c>
      <c r="L105" s="64" t="str">
        <f t="shared" si="16"/>
        <v xml:space="preserve"> </v>
      </c>
      <c r="M105" s="64" t="str">
        <f t="shared" si="16"/>
        <v xml:space="preserve"> </v>
      </c>
      <c r="N105" s="64" t="str">
        <f>IF(N104=(" "),(" "),M105+N104)</f>
        <v xml:space="preserve"> 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7"/>
      <c r="O106" s="137"/>
      <c r="P106" s="137"/>
      <c r="Q106" s="137"/>
      <c r="R106" s="137"/>
    </row>
    <row r="107" spans="1:18" ht="15" customHeight="1">
      <c r="B107" s="54" t="s">
        <v>159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4</v>
      </c>
      <c r="B108" s="53" t="str">
        <f>Wildert2!B5</f>
        <v xml:space="preserve">Aernouts Johan  </v>
      </c>
      <c r="C108" s="55">
        <f>IF(Wildert2!AA5=0," ",SUM(E108:R108))</f>
        <v>28.042999999999999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 t="str">
        <f>IF(Wildert2!P5=(""),(""),ROUND(Wildert2!P5/Wildert2!$O5*10,3))</f>
        <v/>
      </c>
      <c r="M108" s="60" t="str">
        <f>IF(Wildert2!Q5=(""),(""),ROUND(Wildert2!Q5/Wildert2!$O5*10,3))</f>
        <v/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17">IF(SUM(E109:R109)=0,(" "),COUNTIF(E109:R109,"&gt;0"))</f>
        <v>5</v>
      </c>
      <c r="B109" s="53" t="str">
        <f>Wildert2!B6</f>
        <v>Eestermans René</v>
      </c>
      <c r="C109" s="55">
        <f>IF(Wildert2!AA6=0," ",SUM(E109:R109))</f>
        <v>60.688999999999993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 t="str">
        <f>IF(Wildert2!P6=(""),(""),ROUND(Wildert2!P6/Wildert2!$O6*10,3))</f>
        <v/>
      </c>
      <c r="M109" s="60" t="str">
        <f>IF(Wildert2!Q6=(""),(""),ROUND(Wildert2!Q6/Wildert2!$O6*10,3))</f>
        <v/>
      </c>
      <c r="N109" s="60" t="str">
        <f>IF(Wildert2!R6=(""),(""),ROUND(Wildert2!R6/Wildert2!$O6*10,3))</f>
        <v/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17"/>
        <v>4</v>
      </c>
      <c r="B110" s="53" t="str">
        <f>Wildert2!B7</f>
        <v xml:space="preserve">Eijckholt Adrie              </v>
      </c>
      <c r="C110" s="55">
        <f>IF(Wildert2!AA7=0," ",SUM(E110:R110))</f>
        <v>36.486999999999995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 t="str">
        <f>IF(Wildert2!Q7=(""),(""),ROUND(Wildert2!Q7/Wildert2!$O7*10,3))</f>
        <v/>
      </c>
      <c r="N110" s="60" t="str">
        <f>IF(Wildert2!R7=(""),(""),ROUND(Wildert2!R7/Wildert2!$O7*10,3))</f>
        <v/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17"/>
        <v>6</v>
      </c>
      <c r="B111" s="53" t="str">
        <f>Wildert2!B8</f>
        <v>Francken Robert</v>
      </c>
      <c r="C111" s="55">
        <f>IF(Wildert2!AA8=0," ",SUM(E111:R111))</f>
        <v>61.957999999999998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 t="str">
        <f>IF(Wildert2!Q8=(""),(""),ROUND(Wildert2!Q8/Wildert2!$O8*10,3))</f>
        <v/>
      </c>
      <c r="N111" s="60" t="str">
        <f>IF(Wildert2!R8=(""),(""),ROUND(Wildert2!R8/Wildert2!$O8*10,3))</f>
        <v/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17"/>
        <v>4</v>
      </c>
      <c r="B112" s="53" t="str">
        <f>Wildert2!B9</f>
        <v xml:space="preserve">Leys Herman </v>
      </c>
      <c r="C112" s="55">
        <f>IF(Wildert2!AA9=0," ",SUM(E112:R112))</f>
        <v>34.075000000000003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 t="str">
        <f>IF(Wildert2!Q9=(""),(""),ROUND(Wildert2!Q9/Wildert2!$O9*10,3))</f>
        <v/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17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17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100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17"/>
        <v>5</v>
      </c>
      <c r="B115" s="62" t="str">
        <f>Wildert2!B12</f>
        <v>Scholtis Vic [NS 49]</v>
      </c>
      <c r="C115" s="55">
        <f>IF(Wildert2!AA12=0," ",SUM(E115:R115))</f>
        <v>42.016999999999996</v>
      </c>
      <c r="E115" s="100">
        <f>IF(Wildert2!D12=(""),(""),ROUND(Wildert2!D12/49*10,3))</f>
        <v>7.3470000000000004</v>
      </c>
      <c r="F115" s="100">
        <f>IF(Wildert2!E12=(""),(""),ROUND(Wildert2!E12/49*10,3))</f>
        <v>7.5510000000000002</v>
      </c>
      <c r="G115" s="100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 t="str">
        <f>IF(Wildert2!P12=(""),(""),ROUND(Wildert2!P12/Wildert2!$O12*10,3))</f>
        <v/>
      </c>
      <c r="M115" s="60" t="str">
        <f>IF(Wildert2!Q12=(""),(""),ROUND(Wildert2!Q12/Wildert2!$O12*10,3))</f>
        <v/>
      </c>
      <c r="N115" s="60" t="str">
        <f>IF(Wildert2!R12=(""),(""),ROUND(Wildert2!R12/Wildert2!$O12*10,3))</f>
        <v/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17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17"/>
        <v>3</v>
      </c>
      <c r="B117" s="53" t="str">
        <f>Wildert2!B14</f>
        <v xml:space="preserve">Van Ginneken Ludo </v>
      </c>
      <c r="C117" s="55">
        <f>IF(Wildert2!AA14=0," ",SUM(E117:R117))</f>
        <v>29.048000000000002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 t="str">
        <f>IF(Wildert2!P14=(""),(""),ROUND(Wildert2!P14/Wildert2!$O14*10,3))</f>
        <v/>
      </c>
      <c r="M117" s="60" t="str">
        <f>IF(Wildert2!Q14=(""),(""),ROUND(Wildert2!Q14/Wildert2!$O14*10,3))</f>
        <v/>
      </c>
      <c r="N117" s="60" t="str">
        <f>IF(Wildert2!R14=(""),(""),ROUND(Wildert2!R14/Wildert2!$O14*10,3))</f>
        <v/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17"/>
        <v>3</v>
      </c>
      <c r="B118" s="53" t="str">
        <f>Wildert2!B15</f>
        <v>Van Hooydonck Swa</v>
      </c>
      <c r="C118" s="55">
        <f>IF(Wildert2!AA15=0," ",SUM(E118:R118))</f>
        <v>41.427999999999997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 t="str">
        <f>IF(Wildert2!P15=(""),(""),ROUND(Wildert2!P15/Wildert2!$O15*10,3))</f>
        <v/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17"/>
        <v>5</v>
      </c>
      <c r="B119" s="53" t="str">
        <f>Wildert2!B16</f>
        <v>Wiericx Herman</v>
      </c>
      <c r="C119" s="55">
        <f>IF(Wildert2!AA16=0," ",SUM(E119:R119))</f>
        <v>42.766000000000005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 t="str">
        <f>IF(Wildert2!P16=(""),(""),ROUND(Wildert2!P16/Wildert2!$O16*10,3))</f>
        <v/>
      </c>
      <c r="M119" s="60" t="str">
        <f>IF(Wildert2!Q16=(""),(""),ROUND(Wildert2!Q16/Wildert2!$O16*10,3))</f>
        <v/>
      </c>
      <c r="N119" s="60" t="str">
        <f>IF(Wildert2!R16=(""),(""),ROUND(Wildert2!R16/Wildert2!$O16*10,3))</f>
        <v/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96" t="str">
        <f>B107</f>
        <v>WILDERT 2</v>
      </c>
      <c r="D120" s="59"/>
      <c r="E120" s="60">
        <f t="shared" ref="E120:R120" si="18">IF(SUM(E108:E119)=0,(" "),SUM(E108:E119))</f>
        <v>65.339999999999989</v>
      </c>
      <c r="F120" s="60">
        <f t="shared" si="18"/>
        <v>59.665000000000006</v>
      </c>
      <c r="G120" s="60">
        <f t="shared" si="18"/>
        <v>63.081000000000003</v>
      </c>
      <c r="H120" s="60">
        <f t="shared" si="18"/>
        <v>65.992999999999995</v>
      </c>
      <c r="I120" s="60">
        <f t="shared" si="18"/>
        <v>43.373000000000005</v>
      </c>
      <c r="J120" s="60">
        <f t="shared" si="18"/>
        <v>46.591999999999999</v>
      </c>
      <c r="K120" s="60">
        <f t="shared" si="18"/>
        <v>63.543999999999997</v>
      </c>
      <c r="L120" s="60" t="str">
        <f t="shared" si="18"/>
        <v xml:space="preserve"> </v>
      </c>
      <c r="M120" s="60" t="str">
        <f t="shared" si="18"/>
        <v xml:space="preserve"> </v>
      </c>
      <c r="N120" s="136" t="str">
        <f t="shared" si="18"/>
        <v xml:space="preserve"> </v>
      </c>
      <c r="O120" s="136" t="str">
        <f t="shared" si="18"/>
        <v xml:space="preserve"> </v>
      </c>
      <c r="P120" s="136" t="str">
        <f t="shared" si="18"/>
        <v xml:space="preserve"> </v>
      </c>
      <c r="Q120" s="136" t="str">
        <f t="shared" si="18"/>
        <v xml:space="preserve"> </v>
      </c>
      <c r="R120" s="136" t="str">
        <f t="shared" si="18"/>
        <v xml:space="preserve"> </v>
      </c>
    </row>
    <row r="121" spans="1:22" ht="15" customHeight="1">
      <c r="A121" s="61"/>
      <c r="B121" s="62"/>
      <c r="C121" s="65">
        <f>SUM(C108:C119)</f>
        <v>407.58800000000002</v>
      </c>
      <c r="D121" s="234" t="str">
        <f>B107</f>
        <v>WILDERT 2</v>
      </c>
      <c r="E121" s="64">
        <f>IF(E120=(" "),(" "),E120)</f>
        <v>65.339999999999989</v>
      </c>
      <c r="F121" s="64">
        <f t="shared" ref="F121:R121" si="19">IF(F120=(" "),(" "),E121+F120)</f>
        <v>125.005</v>
      </c>
      <c r="G121" s="64">
        <f t="shared" si="19"/>
        <v>188.08600000000001</v>
      </c>
      <c r="H121" s="64">
        <f t="shared" si="19"/>
        <v>254.07900000000001</v>
      </c>
      <c r="I121" s="64">
        <f t="shared" si="19"/>
        <v>297.452</v>
      </c>
      <c r="J121" s="64">
        <f t="shared" si="19"/>
        <v>344.04399999999998</v>
      </c>
      <c r="K121" s="64">
        <f t="shared" si="19"/>
        <v>407.58799999999997</v>
      </c>
      <c r="L121" s="64" t="str">
        <f t="shared" si="19"/>
        <v xml:space="preserve"> </v>
      </c>
      <c r="M121" s="64" t="str">
        <f t="shared" si="19"/>
        <v xml:space="preserve"> </v>
      </c>
      <c r="N121" s="137" t="str">
        <f t="shared" si="19"/>
        <v xml:space="preserve"> </v>
      </c>
      <c r="O121" s="137" t="str">
        <f t="shared" si="19"/>
        <v xml:space="preserve"> </v>
      </c>
      <c r="P121" s="137" t="str">
        <f t="shared" si="19"/>
        <v xml:space="preserve"> </v>
      </c>
      <c r="Q121" s="137" t="str">
        <f t="shared" si="19"/>
        <v xml:space="preserve"> </v>
      </c>
      <c r="R121" s="137" t="str">
        <f t="shared" si="19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198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4</v>
      </c>
      <c r="B126" s="53" t="str">
        <f>DeSpil!B5</f>
        <v>Dekkers Kees</v>
      </c>
      <c r="C126" s="55">
        <f>IF(DeSpil!AA5=0," ",SUM(E126:R126))</f>
        <v>39.599999999999994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 t="str">
        <f>IF(DeSpil!P5=(""),(""),ROUND(DeSpil!P5/DeSpil!$O5*10,3))</f>
        <v/>
      </c>
      <c r="M126" s="60" t="str">
        <f>IF(DeSpil!Q5=(""),(""),ROUND(DeSpil!Q5/DeSpil!$O5*10,3))</f>
        <v/>
      </c>
      <c r="N126" s="60" t="str">
        <f>IF(DeSpil!R5=(""),(""),ROUND(DeSpil!R5/DeSpil!$O5*10,3))</f>
        <v/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0">IF(SUM(E127:R127)=0,(" "),COUNTIF(E127:R127,"&gt;0"))</f>
        <v>4</v>
      </c>
      <c r="B127" s="53" t="str">
        <f>DeSpil!B6</f>
        <v>Elst Jack</v>
      </c>
      <c r="C127" s="55">
        <f>IF(DeSpil!AA6=0," ",SUM(E127:R127))</f>
        <v>37.777999999999999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 t="str">
        <f>IF(DeSpil!R6=(""),(""),ROUND(DeSpil!R6/DeSpil!$O6*10,3))</f>
        <v/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0"/>
        <v>5</v>
      </c>
      <c r="B128" s="53" t="str">
        <f>DeSpil!B7</f>
        <v>Elst Jan</v>
      </c>
      <c r="C128" s="55">
        <f>IF(DeSpil!AA7=0," ",SUM(E128:R128))</f>
        <v>61.667000000000002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 t="str">
        <f>IF(DeSpil!P7=(""),(""),ROUND(DeSpil!P7/DeSpil!$O7*10,3))</f>
        <v/>
      </c>
      <c r="M128" s="60" t="str">
        <f>IF(DeSpil!Q7=(""),(""),ROUND(DeSpil!Q7/DeSpil!$O7*10,3))</f>
        <v/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0"/>
        <v>4</v>
      </c>
      <c r="B129" s="53" t="str">
        <f>DeSpil!B8</f>
        <v>Huijsmans Marion</v>
      </c>
      <c r="C129" s="55">
        <f>IF(DeSpil!AA8=0," ",SUM(E129:R129))</f>
        <v>30.731999999999999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 t="str">
        <f>IF(DeSpil!Q8=(""),(""),ROUND(DeSpil!Q8/DeSpil!$O8*10,3))</f>
        <v/>
      </c>
      <c r="N129" s="60" t="str">
        <f>IF(DeSpil!R8=(""),(""),ROUND(DeSpil!R8/DeSpil!$O8*10,3))</f>
        <v/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0"/>
        <v>4</v>
      </c>
      <c r="B130" s="62" t="str">
        <f>DeSpil!B9</f>
        <v>Kerstens Ad [NS 31]</v>
      </c>
      <c r="C130" s="55">
        <f>IF(DeSpil!AA9=0," ",SUM(E130:R130))</f>
        <v>38.561999999999998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100">
        <f>IF(DeSpil!F9=(""),(""),ROUND(DeSpil!F9/31*10,3))</f>
        <v>8.0649999999999995</v>
      </c>
      <c r="H130" s="100">
        <f>IF(DeSpil!G9=(""),(""),ROUND(DeSpil!G9/31*10,3))</f>
        <v>8.0649999999999995</v>
      </c>
      <c r="I130" s="100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 t="str">
        <f>IF(DeSpil!P9=(""),(""),ROUND(DeSpil!P9/DeSpil!$O9*10,3))</f>
        <v/>
      </c>
      <c r="M130" s="60" t="str">
        <f>IF(DeSpil!Q9=(""),(""),ROUND(DeSpil!Q9/DeSpil!$O9*10,3))</f>
        <v/>
      </c>
      <c r="N130" s="60" t="str">
        <f>IF(DeSpil!R9=(""),(""),ROUND(DeSpil!R9/DeSpil!$O9*10,3))</f>
        <v/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0"/>
        <v>3</v>
      </c>
      <c r="B131" s="62" t="str">
        <f>DeSpil!B10</f>
        <v>Meijers Jan [NS 23]</v>
      </c>
      <c r="C131" s="55">
        <f>IF(DeSpil!AA10=0," ",SUM(E131:R131))</f>
        <v>30.869</v>
      </c>
      <c r="D131"/>
      <c r="E131" s="100">
        <f>IF(DeSpil!D10=(""),(""),ROUND(DeSpil!D10/23*10,3))</f>
        <v>11.304</v>
      </c>
      <c r="F131" s="100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100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 t="str">
        <f>IF(DeSpil!Q10=(""),(""),ROUND(DeSpil!Q10/DeSpil!$O10*10,3))</f>
        <v/>
      </c>
      <c r="N131" s="60" t="str">
        <f>IF(DeSpil!R10=(""),(""),ROUND(DeSpil!R10/DeSpil!$O10*10,3))</f>
        <v/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0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0"/>
        <v>3</v>
      </c>
      <c r="B133" s="53" t="str">
        <f>DeSpil!B12</f>
        <v xml:space="preserve">Stok Adrie            </v>
      </c>
      <c r="C133" s="55">
        <f>IF(DeSpil!AA12=0," ",SUM(E133:R133))</f>
        <v>28.204999999999998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 t="str">
        <f>IF(DeSpil!Q12=(""),(""),ROUND(DeSpil!Q12/DeSpil!$O12*10,3))</f>
        <v/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0"/>
        <v>4</v>
      </c>
      <c r="B134" s="53" t="str">
        <f>DeSpil!B13</f>
        <v>Uitdewillegen Harry</v>
      </c>
      <c r="C134" s="55">
        <f>IF(DeSpil!AA13=0," ",SUM(E134:R134))</f>
        <v>35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 t="str">
        <f>IF(DeSpil!P13=(""),(""),ROUND(DeSpil!P13/DeSpil!$O13*10,3))</f>
        <v/>
      </c>
      <c r="M134" s="60" t="str">
        <f>IF(DeSpil!Q13=(""),(""),ROUND(DeSpil!Q13/DeSpil!$O13*10,3))</f>
        <v/>
      </c>
      <c r="N134" s="60" t="str">
        <f>IF(DeSpil!R13=(""),(""),ROUND(DeSpil!R13/DeSpil!$O13*10,3))</f>
        <v/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0"/>
        <v>3</v>
      </c>
      <c r="B135" s="53" t="str">
        <f>DeSpil!B14</f>
        <v>Van Gastel Jac</v>
      </c>
      <c r="C135" s="221">
        <f>IF(DeSpil!AA14=0," ",SUM(E135:R135))</f>
        <v>29.524000000000001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 t="str">
        <f>IF(DeSpil!P14=(""),(""),ROUND(DeSpil!P14/DeSpil!$O14*10,3))</f>
        <v/>
      </c>
      <c r="M135" s="60" t="str">
        <f>IF(DeSpil!Q14=(""),(""),ROUND(DeSpil!Q14/DeSpil!$O14*10,3))</f>
        <v/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4</v>
      </c>
      <c r="B136" s="53" t="str">
        <f>DeSpil!B15</f>
        <v xml:space="preserve">Van Limpt Wim </v>
      </c>
      <c r="C136" s="221">
        <f>IF(DeSpil!AA15=0," ",SUM(E136:R136))</f>
        <v>33.180999999999997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 t="str">
        <f>IF(DeSpil!P15=(""),(""),ROUND(DeSpil!P15/DeSpil!$O15*10,3))</f>
        <v/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21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8"/>
      <c r="B138" s="179"/>
      <c r="C138" s="196" t="str">
        <f>B125</f>
        <v>DE SPIL</v>
      </c>
      <c r="D138" s="178"/>
      <c r="E138" s="60">
        <f t="shared" ref="E138:R138" si="21">IF(SUM(E126:E136)=0,(" "),SUM(E126:E136))</f>
        <v>50.905999999999999</v>
      </c>
      <c r="F138" s="60">
        <f t="shared" si="21"/>
        <v>43.375999999999991</v>
      </c>
      <c r="G138" s="60">
        <f t="shared" si="21"/>
        <v>59.792999999999992</v>
      </c>
      <c r="H138" s="60">
        <f t="shared" si="21"/>
        <v>51.897999999999996</v>
      </c>
      <c r="I138" s="60">
        <f t="shared" si="21"/>
        <v>58.472999999999999</v>
      </c>
      <c r="J138" s="60">
        <f t="shared" si="21"/>
        <v>60.55899999999999</v>
      </c>
      <c r="K138" s="60">
        <f t="shared" si="21"/>
        <v>57.513000000000005</v>
      </c>
      <c r="L138" s="60" t="str">
        <f t="shared" si="21"/>
        <v xml:space="preserve"> </v>
      </c>
      <c r="M138" s="60" t="str">
        <f t="shared" si="21"/>
        <v xml:space="preserve"> </v>
      </c>
      <c r="N138" s="60" t="str">
        <f t="shared" si="21"/>
        <v xml:space="preserve"> </v>
      </c>
      <c r="O138" s="60" t="str">
        <f t="shared" si="21"/>
        <v xml:space="preserve"> </v>
      </c>
      <c r="P138" s="60" t="str">
        <f t="shared" si="21"/>
        <v xml:space="preserve"> </v>
      </c>
      <c r="Q138" s="60" t="str">
        <f t="shared" si="21"/>
        <v xml:space="preserve"> </v>
      </c>
      <c r="R138" s="60" t="str">
        <f t="shared" si="21"/>
        <v xml:space="preserve"> </v>
      </c>
    </row>
    <row r="139" spans="1:22" s="66" customFormat="1" ht="15" customHeight="1">
      <c r="A139" s="180"/>
      <c r="B139" s="181"/>
      <c r="C139" s="65">
        <f>SUM(C126:C137)</f>
        <v>382.51799999999997</v>
      </c>
      <c r="D139" s="240" t="str">
        <f>B125</f>
        <v>DE SPIL</v>
      </c>
      <c r="E139" s="64">
        <f>IF(E138=(" "),(" "),E138)</f>
        <v>50.905999999999999</v>
      </c>
      <c r="F139" s="64">
        <f t="shared" ref="F139:R139" si="22">IF(F138=(" "),(" "),E139+F138)</f>
        <v>94.281999999999982</v>
      </c>
      <c r="G139" s="64">
        <f t="shared" si="22"/>
        <v>154.07499999999999</v>
      </c>
      <c r="H139" s="64">
        <f t="shared" si="22"/>
        <v>205.97299999999998</v>
      </c>
      <c r="I139" s="64">
        <f t="shared" si="22"/>
        <v>264.44599999999997</v>
      </c>
      <c r="J139" s="64">
        <f t="shared" si="22"/>
        <v>325.00499999999994</v>
      </c>
      <c r="K139" s="64">
        <f t="shared" si="22"/>
        <v>382.51799999999992</v>
      </c>
      <c r="L139" s="64" t="str">
        <f t="shared" si="22"/>
        <v xml:space="preserve"> </v>
      </c>
      <c r="M139" s="64" t="str">
        <f t="shared" si="22"/>
        <v xml:space="preserve"> </v>
      </c>
      <c r="N139" s="64" t="str">
        <f t="shared" si="22"/>
        <v xml:space="preserve"> </v>
      </c>
      <c r="O139" s="64" t="str">
        <f t="shared" si="22"/>
        <v xml:space="preserve"> </v>
      </c>
      <c r="P139" s="64" t="str">
        <f t="shared" si="22"/>
        <v xml:space="preserve"> </v>
      </c>
      <c r="Q139" s="64" t="str">
        <f t="shared" si="22"/>
        <v xml:space="preserve"> </v>
      </c>
      <c r="R139" s="64" t="str">
        <f t="shared" si="22"/>
        <v xml:space="preserve"> </v>
      </c>
    </row>
    <row r="140" spans="1:22" ht="24" customHeight="1"/>
    <row r="149" spans="1:18" ht="15" customHeight="1">
      <c r="A149" s="52" t="str">
        <f t="shared" ref="A149:A160" si="23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3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3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3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3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3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3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3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3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3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3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3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4">IF(SUM(G150:G160)=0,(" "),SUM(G150:G161))</f>
        <v xml:space="preserve"> </v>
      </c>
      <c r="H162" s="60" t="str">
        <f t="shared" si="24"/>
        <v xml:space="preserve"> </v>
      </c>
      <c r="I162" s="60" t="str">
        <f t="shared" si="24"/>
        <v xml:space="preserve"> </v>
      </c>
      <c r="J162" s="60" t="str">
        <f t="shared" si="24"/>
        <v xml:space="preserve"> </v>
      </c>
      <c r="K162" s="60" t="str">
        <f t="shared" si="24"/>
        <v xml:space="preserve"> </v>
      </c>
      <c r="L162" s="60" t="str">
        <f t="shared" si="24"/>
        <v xml:space="preserve"> </v>
      </c>
      <c r="M162" s="60" t="str">
        <f t="shared" si="24"/>
        <v xml:space="preserve"> </v>
      </c>
      <c r="N162" s="136" t="str">
        <f t="shared" si="24"/>
        <v xml:space="preserve"> </v>
      </c>
      <c r="O162" s="60" t="str">
        <f t="shared" si="24"/>
        <v xml:space="preserve"> </v>
      </c>
      <c r="P162" s="60" t="str">
        <f t="shared" si="24"/>
        <v xml:space="preserve"> </v>
      </c>
      <c r="Q162" s="60" t="str">
        <f t="shared" si="24"/>
        <v xml:space="preserve"> </v>
      </c>
      <c r="R162" s="60" t="str">
        <f t="shared" si="24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5">IF(G162=(" "),(" "),F163+G162)</f>
        <v xml:space="preserve"> </v>
      </c>
      <c r="H163" s="64" t="str">
        <f t="shared" si="25"/>
        <v xml:space="preserve"> </v>
      </c>
      <c r="I163" s="64" t="str">
        <f t="shared" si="25"/>
        <v xml:space="preserve"> </v>
      </c>
      <c r="J163" s="64" t="str">
        <f t="shared" si="25"/>
        <v xml:space="preserve"> </v>
      </c>
      <c r="K163" s="64" t="str">
        <f t="shared" si="25"/>
        <v xml:space="preserve"> </v>
      </c>
      <c r="L163" s="64" t="str">
        <f>IF(L162=(" "),(" "),K163+L162)</f>
        <v xml:space="preserve"> </v>
      </c>
      <c r="M163" s="64" t="str">
        <f t="shared" si="25"/>
        <v xml:space="preserve"> </v>
      </c>
      <c r="N163" s="137" t="str">
        <f t="shared" si="25"/>
        <v xml:space="preserve"> </v>
      </c>
      <c r="O163" s="64" t="str">
        <f t="shared" si="25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6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6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6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6"/>
        <v xml:space="preserve"> </v>
      </c>
      <c r="B168" s="103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6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6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6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6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6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6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6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6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27">IF(SUM(G166:G176)=0,(" "),SUM(G166:G177))</f>
        <v xml:space="preserve"> </v>
      </c>
      <c r="H178" s="60" t="str">
        <f t="shared" si="27"/>
        <v xml:space="preserve"> </v>
      </c>
      <c r="I178" s="60" t="str">
        <f t="shared" si="27"/>
        <v xml:space="preserve"> </v>
      </c>
      <c r="J178" s="60" t="str">
        <f t="shared" si="27"/>
        <v xml:space="preserve"> </v>
      </c>
      <c r="K178" s="60" t="str">
        <f t="shared" si="27"/>
        <v xml:space="preserve"> </v>
      </c>
      <c r="L178" s="60" t="str">
        <f t="shared" si="27"/>
        <v xml:space="preserve"> </v>
      </c>
      <c r="M178" s="60" t="str">
        <f t="shared" si="27"/>
        <v xml:space="preserve"> </v>
      </c>
      <c r="N178" s="136" t="str">
        <f t="shared" si="27"/>
        <v xml:space="preserve"> </v>
      </c>
      <c r="O178" s="60" t="str">
        <f t="shared" si="27"/>
        <v xml:space="preserve"> </v>
      </c>
      <c r="P178" s="60" t="str">
        <f t="shared" si="27"/>
        <v xml:space="preserve"> </v>
      </c>
      <c r="Q178" s="60" t="str">
        <f t="shared" si="27"/>
        <v xml:space="preserve"> </v>
      </c>
      <c r="R178" s="60" t="str">
        <f t="shared" si="27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28">IF(G178=(" "),(" "),F179+G178)</f>
        <v xml:space="preserve"> </v>
      </c>
      <c r="H179" s="64" t="str">
        <f t="shared" si="28"/>
        <v xml:space="preserve"> </v>
      </c>
      <c r="I179" s="64" t="str">
        <f t="shared" si="28"/>
        <v xml:space="preserve"> </v>
      </c>
      <c r="J179" s="64" t="str">
        <f t="shared" si="28"/>
        <v xml:space="preserve"> </v>
      </c>
      <c r="K179" s="64" t="str">
        <f t="shared" si="28"/>
        <v xml:space="preserve"> </v>
      </c>
      <c r="L179" s="64" t="str">
        <f>IF(L178=(" "),(" "),K179+L178)</f>
        <v xml:space="preserve"> </v>
      </c>
      <c r="M179" s="64" t="str">
        <f t="shared" si="28"/>
        <v xml:space="preserve"> </v>
      </c>
      <c r="N179" s="137" t="str">
        <f t="shared" si="28"/>
        <v xml:space="preserve"> </v>
      </c>
      <c r="O179" s="64" t="str">
        <f t="shared" si="28"/>
        <v xml:space="preserve"> </v>
      </c>
      <c r="P179" s="64" t="str">
        <f t="shared" si="28"/>
        <v xml:space="preserve"> </v>
      </c>
      <c r="Q179" s="64" t="str">
        <f t="shared" si="28"/>
        <v xml:space="preserve"> </v>
      </c>
      <c r="R179" s="64" t="str">
        <f t="shared" si="28"/>
        <v xml:space="preserve"> </v>
      </c>
    </row>
    <row r="181" spans="1:18" ht="15" customHeight="1">
      <c r="A181" s="52" t="str">
        <f t="shared" ref="A181:A192" si="29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29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101" t="str">
        <f>IF(Reserve3!C4=(""),(""),Reserve3!C4/Reserve3!$B4*10)</f>
        <v/>
      </c>
      <c r="F182" s="101" t="str">
        <f>IF(Reserve3!D4=(""),(""),Reserve3!D4/Reserve3!$B4*10)</f>
        <v/>
      </c>
      <c r="G182" s="101" t="str">
        <f>IF(Reserve3!E4=(""),(""),Reserve3!E4/Reserve3!$B4*10)</f>
        <v/>
      </c>
      <c r="H182" s="101" t="str">
        <f>IF(Reserve3!F4=(""),(""),Reserve3!F4/Reserve3!$B4*10)</f>
        <v/>
      </c>
      <c r="I182" s="101" t="str">
        <f>IF(Reserve3!G4=(""),(""),Reserve3!G4/Reserve3!$B4*10)</f>
        <v/>
      </c>
      <c r="J182" s="101" t="str">
        <f>IF(Reserve3!H4=(""),(""),Reserve3!H4/Reserve3!$B4*10)</f>
        <v/>
      </c>
      <c r="K182" s="101" t="str">
        <f>IF(Reserve3!I4=(""),(""),Reserve3!I4/Reserve3!$B4*10)</f>
        <v/>
      </c>
      <c r="L182" s="101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29"/>
        <v xml:space="preserve"> </v>
      </c>
      <c r="B183" s="103">
        <f>Reserve3!A5</f>
        <v>0</v>
      </c>
      <c r="C183" s="55" t="str">
        <f>IF(Reserve3!Z5=0," ",SUM(E183:R183))</f>
        <v xml:space="preserve"> </v>
      </c>
      <c r="E183" s="101" t="str">
        <f>IF(Reserve3!C5=(""),(""),Reserve3!C5/Reserve3!$B5*10)</f>
        <v/>
      </c>
      <c r="F183" s="101" t="str">
        <f>IF(Reserve3!D5=(""),(""),Reserve3!D5/Reserve3!$B5*10)</f>
        <v/>
      </c>
      <c r="G183" s="101" t="str">
        <f>IF(Reserve3!E5=(""),(""),Reserve3!E5/Reserve3!$B5*10)</f>
        <v/>
      </c>
      <c r="H183" s="101" t="str">
        <f>IF(Reserve3!F5=(""),(""),Reserve3!F5/Reserve3!$B5*10)</f>
        <v/>
      </c>
      <c r="I183" s="101" t="str">
        <f>IF(Reserve3!G5=(""),(""),Reserve3!G5/Reserve3!$B5*10)</f>
        <v/>
      </c>
      <c r="J183" s="101" t="str">
        <f>IF(Reserve3!H5=(""),(""),Reserve3!H5/Reserve3!$B5*10)</f>
        <v/>
      </c>
      <c r="K183" s="101" t="str">
        <f>IF(Reserve3!I5=(""),(""),Reserve3!I5/Reserve3!$B5*10)</f>
        <v/>
      </c>
      <c r="L183" s="101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29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101" t="str">
        <f>IF(Reserve3!C6=(""),(""),Reserve3!C6/Reserve3!$B6*10)</f>
        <v/>
      </c>
      <c r="F184" s="101" t="str">
        <f>IF(Reserve3!D6=(""),(""),Reserve3!D6/Reserve3!$B6*10)</f>
        <v/>
      </c>
      <c r="G184" s="101" t="str">
        <f>IF(Reserve3!E6=(""),(""),Reserve3!E6/Reserve3!$B6*10)</f>
        <v/>
      </c>
      <c r="H184" s="101" t="str">
        <f>IF(Reserve3!F6=(""),(""),Reserve3!F6/Reserve3!$B6*10)</f>
        <v/>
      </c>
      <c r="I184" s="101" t="str">
        <f>IF(Reserve3!G6=(""),(""),Reserve3!G6/Reserve3!$B6*10)</f>
        <v/>
      </c>
      <c r="J184" s="101" t="str">
        <f>IF(Reserve3!H6=(""),(""),Reserve3!H6/Reserve3!$B6*10)</f>
        <v/>
      </c>
      <c r="K184" s="101" t="str">
        <f>IF(Reserve3!I6=(""),(""),Reserve3!I6/Reserve3!$B6*10)</f>
        <v/>
      </c>
      <c r="L184" s="101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29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101" t="str">
        <f>IF(Reserve3!C7=(""),(""),Reserve3!C7/Reserve3!$B7*10)</f>
        <v/>
      </c>
      <c r="F185" s="101" t="str">
        <f>IF(Reserve3!D7=(""),(""),Reserve3!D7/Reserve3!$B7*10)</f>
        <v/>
      </c>
      <c r="G185" s="101" t="str">
        <f>IF(Reserve3!E7=(""),(""),Reserve3!E7/Reserve3!$B7*10)</f>
        <v/>
      </c>
      <c r="H185" s="101" t="str">
        <f>IF(Reserve3!F7=(""),(""),Reserve3!F7/Reserve3!$B7*10)</f>
        <v/>
      </c>
      <c r="I185" s="101" t="str">
        <f>IF(Reserve3!G7=(""),(""),Reserve3!G7/Reserve3!$B7*10)</f>
        <v/>
      </c>
      <c r="J185" s="101" t="str">
        <f>IF(Reserve3!H7=(""),(""),Reserve3!H7/Reserve3!$B7*10)</f>
        <v/>
      </c>
      <c r="K185" s="101" t="str">
        <f>IF(Reserve3!I7=(""),(""),Reserve3!I7/Reserve3!$B7*10)</f>
        <v/>
      </c>
      <c r="L185" s="101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29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101" t="str">
        <f>IF(Reserve3!C8=(""),(""),Reserve3!C8/Reserve3!$B8*10)</f>
        <v/>
      </c>
      <c r="F186" s="101" t="str">
        <f>IF(Reserve3!D8=(""),(""),Reserve3!D8/Reserve3!$B8*10)</f>
        <v/>
      </c>
      <c r="G186" s="101" t="str">
        <f>IF(Reserve3!E8=(""),(""),Reserve3!E8/Reserve3!$B8*10)</f>
        <v/>
      </c>
      <c r="H186" s="101" t="str">
        <f>IF(Reserve3!F8=(""),(""),Reserve3!F8/Reserve3!$B8*10)</f>
        <v/>
      </c>
      <c r="I186" s="101" t="str">
        <f>IF(Reserve3!G8=(""),(""),Reserve3!G8/Reserve3!$B8*10)</f>
        <v/>
      </c>
      <c r="J186" s="101" t="str">
        <f>IF(Reserve3!H8=(""),(""),Reserve3!H8/Reserve3!$B8*10)</f>
        <v/>
      </c>
      <c r="K186" s="101" t="str">
        <f>IF(Reserve3!I8=(""),(""),Reserve3!I8/Reserve3!$B8*10)</f>
        <v/>
      </c>
      <c r="L186" s="101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29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101" t="str">
        <f>IF(Reserve3!C9=(""),(""),Reserve3!C9/Reserve3!$B9*10)</f>
        <v/>
      </c>
      <c r="F187" s="101" t="str">
        <f>IF(Reserve3!D9=(""),(""),Reserve3!D9/Reserve3!$B9*10)</f>
        <v/>
      </c>
      <c r="G187" s="101" t="str">
        <f>IF(Reserve3!E9=(""),(""),Reserve3!E9/Reserve3!$B9*10)</f>
        <v/>
      </c>
      <c r="H187" s="101" t="str">
        <f>IF(Reserve3!F9=(""),(""),Reserve3!F9/Reserve3!$B9*10)</f>
        <v/>
      </c>
      <c r="I187" s="101" t="str">
        <f>IF(Reserve3!G9=(""),(""),Reserve3!G9/Reserve3!$B9*10)</f>
        <v/>
      </c>
      <c r="J187" s="101" t="str">
        <f>IF(Reserve3!H9=(""),(""),Reserve3!H9/Reserve3!$B9*10)</f>
        <v/>
      </c>
      <c r="K187" s="101" t="str">
        <f>IF(Reserve3!I9=(""),(""),Reserve3!I9/Reserve3!$B9*10)</f>
        <v/>
      </c>
      <c r="L187" s="101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29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101" t="str">
        <f>IF(Reserve3!C10=(""),(""),Reserve3!C10/Reserve3!$B10*10)</f>
        <v/>
      </c>
      <c r="F188" s="101" t="str">
        <f>IF(Reserve3!D10=(""),(""),Reserve3!D10/Reserve3!$B10*10)</f>
        <v/>
      </c>
      <c r="G188" s="101" t="str">
        <f>IF(Reserve3!E10=(""),(""),Reserve3!E10/Reserve3!$B10*10)</f>
        <v/>
      </c>
      <c r="H188" s="101" t="str">
        <f>IF(Reserve3!F10=(""),(""),Reserve3!F10/Reserve3!$B10*10)</f>
        <v/>
      </c>
      <c r="I188" s="101" t="str">
        <f>IF(Reserve3!G10=(""),(""),Reserve3!G10/Reserve3!$B10*10)</f>
        <v/>
      </c>
      <c r="J188" s="101" t="str">
        <f>IF(Reserve3!H10=(""),(""),Reserve3!H10/Reserve3!$B10*10)</f>
        <v/>
      </c>
      <c r="K188" s="101" t="str">
        <f>IF(Reserve3!I10=(""),(""),Reserve3!I10/Reserve3!$B10*10)</f>
        <v/>
      </c>
      <c r="L188" s="101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29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101" t="str">
        <f>IF(Reserve3!C11=(""),(""),Reserve3!C11/Reserve3!$B11*10)</f>
        <v/>
      </c>
      <c r="F189" s="101" t="str">
        <f>IF(Reserve3!D11=(""),(""),Reserve3!D11/Reserve3!$B11*10)</f>
        <v/>
      </c>
      <c r="G189" s="101" t="str">
        <f>IF(Reserve3!E11=(""),(""),Reserve3!E11/Reserve3!$B11*10)</f>
        <v/>
      </c>
      <c r="H189" s="101" t="str">
        <f>IF(Reserve3!F11=(""),(""),Reserve3!F11/Reserve3!$B11*10)</f>
        <v/>
      </c>
      <c r="I189" s="101" t="str">
        <f>IF(Reserve3!G11=(""),(""),Reserve3!G11/Reserve3!$B11*10)</f>
        <v/>
      </c>
      <c r="J189" s="101" t="str">
        <f>IF(Reserve3!H11=(""),(""),Reserve3!H11/Reserve3!$B11*10)</f>
        <v/>
      </c>
      <c r="K189" s="101" t="str">
        <f>IF(Reserve3!I11=(""),(""),Reserve3!I11/Reserve3!$B11*10)</f>
        <v/>
      </c>
      <c r="L189" s="101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29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101" t="str">
        <f>IF(Reserve3!C12=(""),(""),Reserve3!C12/Reserve3!$B12*10)</f>
        <v/>
      </c>
      <c r="F190" s="101" t="str">
        <f>IF(Reserve3!D12=(""),(""),Reserve3!D12/Reserve3!$B12*10)</f>
        <v/>
      </c>
      <c r="G190" s="101" t="str">
        <f>IF(Reserve3!E12=(""),(""),Reserve3!E12/Reserve3!$B12*10)</f>
        <v/>
      </c>
      <c r="H190" s="101" t="str">
        <f>IF(Reserve3!F12=(""),(""),Reserve3!F12/Reserve3!$B12*10)</f>
        <v/>
      </c>
      <c r="I190" s="101" t="str">
        <f>IF(Reserve3!G12=(""),(""),Reserve3!G12/Reserve3!$B12*10)</f>
        <v/>
      </c>
      <c r="J190" s="101" t="str">
        <f>IF(Reserve3!H12=(""),(""),Reserve3!H12/Reserve3!$B12*10)</f>
        <v/>
      </c>
      <c r="K190" s="101" t="str">
        <f>IF(Reserve3!I12=(""),(""),Reserve3!I12/Reserve3!$B12*10)</f>
        <v/>
      </c>
      <c r="L190" s="101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29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101" t="str">
        <f>IF(Reserve3!C13=(""),(""),Reserve3!C13/Reserve3!$B13*10)</f>
        <v/>
      </c>
      <c r="F191" s="101" t="str">
        <f>IF(Reserve3!D13=(""),(""),Reserve3!D13/Reserve3!$B13*10)</f>
        <v/>
      </c>
      <c r="G191" s="101" t="str">
        <f>IF(Reserve3!E13=(""),(""),Reserve3!E13/Reserve3!$B13*10)</f>
        <v/>
      </c>
      <c r="H191" s="101" t="str">
        <f>IF(Reserve3!F13=(""),(""),Reserve3!F13/Reserve3!$B13*10)</f>
        <v/>
      </c>
      <c r="I191" s="101" t="str">
        <f>IF(Reserve3!G13=(""),(""),Reserve3!G13/Reserve3!$B13*10)</f>
        <v/>
      </c>
      <c r="J191" s="101" t="str">
        <f>IF(Reserve3!H13=(""),(""),Reserve3!H13/Reserve3!$B13*10)</f>
        <v/>
      </c>
      <c r="K191" s="101" t="str">
        <f>IF(Reserve3!I13=(""),(""),Reserve3!I13/Reserve3!$B13*10)</f>
        <v/>
      </c>
      <c r="L191" s="101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29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100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100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0">IF(SUM(G182:G192)=0,(" "),SUM(G182:G193))</f>
        <v xml:space="preserve"> </v>
      </c>
      <c r="H194" s="60" t="str">
        <f t="shared" si="30"/>
        <v xml:space="preserve"> </v>
      </c>
      <c r="I194" s="60" t="str">
        <f>IF(SUM(I182:I192)=0,(" "),SUM(I182:I193))</f>
        <v xml:space="preserve"> </v>
      </c>
      <c r="J194" s="60" t="str">
        <f t="shared" si="30"/>
        <v xml:space="preserve"> </v>
      </c>
      <c r="K194" s="60" t="str">
        <f>IF(SUM(K182:K192)=0,(" "),SUM(K182:K193))</f>
        <v xml:space="preserve"> </v>
      </c>
      <c r="L194" s="60" t="str">
        <f t="shared" si="30"/>
        <v xml:space="preserve"> </v>
      </c>
      <c r="M194" s="60" t="str">
        <f t="shared" si="30"/>
        <v xml:space="preserve"> </v>
      </c>
      <c r="N194" s="136" t="str">
        <f t="shared" si="30"/>
        <v xml:space="preserve"> </v>
      </c>
      <c r="O194" s="60" t="str">
        <f t="shared" si="30"/>
        <v xml:space="preserve"> </v>
      </c>
      <c r="P194" s="60" t="str">
        <f t="shared" si="30"/>
        <v xml:space="preserve"> </v>
      </c>
      <c r="Q194" s="60" t="str">
        <f t="shared" si="30"/>
        <v xml:space="preserve"> </v>
      </c>
      <c r="R194" s="60" t="str">
        <f t="shared" si="30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1">IF(G194=(" "),(" "),F195+G194)</f>
        <v xml:space="preserve"> </v>
      </c>
      <c r="H195" s="64" t="str">
        <f t="shared" si="31"/>
        <v xml:space="preserve"> </v>
      </c>
      <c r="I195" s="64" t="str">
        <f t="shared" si="31"/>
        <v xml:space="preserve"> </v>
      </c>
      <c r="J195" s="64" t="str">
        <f t="shared" si="31"/>
        <v xml:space="preserve"> </v>
      </c>
      <c r="K195" s="64" t="str">
        <f t="shared" si="31"/>
        <v xml:space="preserve"> </v>
      </c>
      <c r="L195" s="64" t="str">
        <f>IF(L194=(" "),(" "),K195+L194)</f>
        <v xml:space="preserve"> </v>
      </c>
      <c r="M195" s="64" t="str">
        <f t="shared" si="31"/>
        <v xml:space="preserve"> </v>
      </c>
      <c r="N195" s="137" t="str">
        <f t="shared" si="31"/>
        <v xml:space="preserve"> </v>
      </c>
      <c r="O195" s="64" t="str">
        <f t="shared" si="31"/>
        <v xml:space="preserve"> </v>
      </c>
      <c r="P195" s="64" t="str">
        <f t="shared" si="31"/>
        <v xml:space="preserve"> </v>
      </c>
      <c r="Q195" s="64" t="str">
        <f t="shared" si="31"/>
        <v xml:space="preserve"> </v>
      </c>
      <c r="R195" s="64" t="str">
        <f t="shared" si="31"/>
        <v xml:space="preserve"> </v>
      </c>
    </row>
    <row r="197" spans="1:18" ht="15" customHeight="1">
      <c r="A197" s="52" t="str">
        <f t="shared" ref="A197:A208" si="32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2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2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2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2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2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2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2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2"/>
        <v xml:space="preserve"> </v>
      </c>
      <c r="B205" s="103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2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2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2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3">IF(SUM(G198:G208)=0,(" "),SUM(G198:G209))</f>
        <v xml:space="preserve"> </v>
      </c>
      <c r="H210" s="60" t="str">
        <f t="shared" si="33"/>
        <v xml:space="preserve"> </v>
      </c>
      <c r="I210" s="60" t="str">
        <f t="shared" si="33"/>
        <v xml:space="preserve"> </v>
      </c>
      <c r="J210" s="60" t="str">
        <f t="shared" si="33"/>
        <v xml:space="preserve"> </v>
      </c>
      <c r="K210" s="60" t="str">
        <f t="shared" si="33"/>
        <v xml:space="preserve"> </v>
      </c>
      <c r="L210" s="60" t="str">
        <f t="shared" si="33"/>
        <v xml:space="preserve"> </v>
      </c>
      <c r="M210" s="60" t="str">
        <f t="shared" si="33"/>
        <v xml:space="preserve"> </v>
      </c>
      <c r="N210" s="136" t="str">
        <f t="shared" si="33"/>
        <v xml:space="preserve"> </v>
      </c>
      <c r="O210" s="60" t="str">
        <f t="shared" si="33"/>
        <v xml:space="preserve"> </v>
      </c>
      <c r="P210" s="60" t="str">
        <f t="shared" si="33"/>
        <v xml:space="preserve"> </v>
      </c>
      <c r="Q210" s="60" t="str">
        <f t="shared" si="33"/>
        <v xml:space="preserve"> </v>
      </c>
      <c r="R210" s="60" t="str">
        <f t="shared" si="33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4">IF(G210=(" "),(" "),F211+G210)</f>
        <v xml:space="preserve"> </v>
      </c>
      <c r="H211" s="64" t="str">
        <f t="shared" si="34"/>
        <v xml:space="preserve"> </v>
      </c>
      <c r="I211" s="64" t="str">
        <f t="shared" si="34"/>
        <v xml:space="preserve"> </v>
      </c>
      <c r="J211" s="64" t="str">
        <f t="shared" si="34"/>
        <v xml:space="preserve"> </v>
      </c>
      <c r="K211" s="64" t="str">
        <f t="shared" si="34"/>
        <v xml:space="preserve"> </v>
      </c>
      <c r="L211" s="64" t="str">
        <f>IF(L210=(" "),(" "),K211+L210)</f>
        <v xml:space="preserve"> </v>
      </c>
      <c r="M211" s="64" t="str">
        <f t="shared" si="34"/>
        <v xml:space="preserve"> </v>
      </c>
      <c r="N211" s="137" t="str">
        <f t="shared" si="34"/>
        <v xml:space="preserve"> </v>
      </c>
      <c r="O211" s="64" t="str">
        <f t="shared" si="34"/>
        <v xml:space="preserve"> </v>
      </c>
      <c r="P211" s="64" t="str">
        <f t="shared" si="34"/>
        <v xml:space="preserve"> </v>
      </c>
      <c r="Q211" s="64" t="str">
        <f t="shared" si="34"/>
        <v xml:space="preserve"> </v>
      </c>
      <c r="R211" s="64" t="str">
        <f t="shared" si="34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57" zoomScale="115" zoomScaleNormal="115" workbookViewId="0">
      <selection activeCell="I41" sqref="I41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77" t="s">
        <v>219</v>
      </c>
      <c r="B2" s="278"/>
      <c r="C2" s="278"/>
      <c r="D2" s="278"/>
      <c r="E2" s="223" t="s">
        <v>246</v>
      </c>
    </row>
    <row r="3" spans="1:5" s="54" customFormat="1" ht="25.2" customHeight="1">
      <c r="A3" s="277" t="s">
        <v>218</v>
      </c>
      <c r="B3" s="278"/>
      <c r="C3" s="278"/>
      <c r="D3" s="278"/>
      <c r="E3" s="229">
        <f>Rangschikking!F3</f>
        <v>46028</v>
      </c>
    </row>
    <row r="4" spans="1:5" ht="18" customHeight="1">
      <c r="B4" s="284" t="s">
        <v>96</v>
      </c>
      <c r="C4" s="285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VLOOKUP(B8,Punten!$C$3:$R$141,3,0)</f>
        <v>44.450999999999993</v>
      </c>
      <c r="E8" s="141">
        <f>VLOOKUP(C8,Punten!$C$3:$R$141,3,0)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VLOOKUP(B9,Punten!$C$3:$R$141,3,0)</f>
        <v>50.905999999999999</v>
      </c>
      <c r="E9" s="141">
        <f>VLOOKUP(C9,Punten!$C$3:$R$141,3,0)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VLOOKUP(B10,Punten!$C$3:$R$141,3,0)</f>
        <v>60.441000000000003</v>
      </c>
      <c r="E10" s="141">
        <f>VLOOKUP(C10,Punten!$C$3:$R$141,3,0)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VLOOKUP(B11,Punten!$C$3:$R$141,3,0)</f>
        <v>58.379000000000005</v>
      </c>
      <c r="E11" s="141">
        <f>VLOOKUP(C11,Punten!$C$3:$R$141,3,0)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VLOOKUP(B14,Punten!$C$3:$R$141,4,0)</f>
        <v>50.713999999999999</v>
      </c>
      <c r="E14" s="141">
        <f>VLOOKUP(C14,Punten!$C$3:$R$141,4,0)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VLOOKUP(B15,Punten!$C$3:$R$141,4,0)</f>
        <v>35.499000000000002</v>
      </c>
      <c r="E15" s="141">
        <f>VLOOKUP(C15,Punten!$C$3:$R$141,4,0)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VLOOKUP(B16,Punten!$C$3:$R$141,4,0)</f>
        <v>43.375999999999991</v>
      </c>
      <c r="E16" s="141">
        <f>VLOOKUP(C16,Punten!$C$3:$R$141,4,0)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VLOOKUP(B17,Punten!$C$3:$R$141,4,0)</f>
        <v>69.52600000000001</v>
      </c>
      <c r="E17" s="141">
        <f>VLOOKUP(C17,Punten!$C$3:$R$141,4,0)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VLOOKUP(B20,Punten!$C$3:$R$141,5,0)</f>
        <v>63.081000000000003</v>
      </c>
      <c r="E20" s="141">
        <f>VLOOKUP(C20,Punten!$C$3:$R$141,5,0)</f>
        <v>59.792999999999992</v>
      </c>
    </row>
    <row r="21" spans="1:5" s="76" customFormat="1" ht="19.95" customHeight="1">
      <c r="A21" s="247">
        <v>45931</v>
      </c>
      <c r="B21" s="248" t="s">
        <v>52</v>
      </c>
      <c r="C21" s="248" t="s">
        <v>216</v>
      </c>
      <c r="D21" s="249">
        <f>VLOOKUP(B21,Punten!$C$3:$R$141,5,0)</f>
        <v>45.146000000000001</v>
      </c>
      <c r="E21" s="249">
        <f>VLOOKUP(C21,Punten!$C$3:$R$141,5,0)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VLOOKUP(B22,Punten!$C$3:$R$141,5,0)</f>
        <v>55.997</v>
      </c>
      <c r="E22" s="141">
        <f>VLOOKUP(C22,Punten!$C$3:$R$141,5,0)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VLOOKUP(B23,Punten!$C$3:$R$141,5,0)</f>
        <v>50.582999999999998</v>
      </c>
      <c r="E23" s="141">
        <f>VLOOKUP(C23,Punten!$C$3:$R$141,5,0)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>
        <f>VLOOKUP(B26,Punten!$C$3:$R$141,6,0)</f>
        <v>59.855000000000004</v>
      </c>
      <c r="E26" s="141">
        <f>VLOOKUP(C26,Punten!$C$3:$R$141,6,0)</f>
        <v>63.666999999999994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>
        <f>VLOOKUP(B27,Punten!$C$3:$R$141,6,0)</f>
        <v>65.992999999999995</v>
      </c>
      <c r="E27" s="141">
        <f>VLOOKUP(C27,Punten!$C$3:$R$141,6,0)</f>
        <v>49.918999999999997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>
        <f>VLOOKUP(B28,Punten!$C$3:$R$141,6,0)</f>
        <v>48.378</v>
      </c>
      <c r="E28" s="141">
        <f>VLOOKUP(C28,Punten!$C$3:$R$141,6,0)</f>
        <v>64.992999999999995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>
        <f>VLOOKUP(B29,Punten!$C$3:$R$141,6,0)</f>
        <v>46.199999999999996</v>
      </c>
      <c r="E29" s="141">
        <f>VLOOKUP(C29,Punten!$C$3:$R$141,6,0)</f>
        <v>51.897999999999996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>
        <f>VLOOKUP(B32,Punten!$C$3:$R$141,7,0)</f>
        <v>68.623999999999995</v>
      </c>
      <c r="E32" s="141">
        <f>VLOOKUP(C32,Punten!$C$3:$R$141,7,0)</f>
        <v>71.284000000000006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256">
        <f>VLOOKUP(B33,Punten!$C$3:$R$141,7,0)</f>
        <v>40.948999999999998</v>
      </c>
      <c r="E33" s="141">
        <f>VLOOKUP(C33,Punten!$C$3:$R$141,7,0)</f>
        <v>43.373000000000005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>
        <f>VLOOKUP(B34,Punten!$C$3:$R$141,7,0)</f>
        <v>58.472999999999999</v>
      </c>
      <c r="E34" s="141">
        <f>VLOOKUP(C34,Punten!$C$3:$R$141,7,0)</f>
        <v>59.703000000000003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>
        <f>VLOOKUP(B35,Punten!$C$3:$R$141,7,0)</f>
        <v>67.445000000000007</v>
      </c>
      <c r="E35" s="141">
        <f>VLOOKUP(C35,Punten!$C$3:$R$141,7,0)</f>
        <v>72.231999999999999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256">
        <f>VLOOKUP(B38,Punten!$C$3:$R$141,8,0)</f>
        <v>58.245000000000005</v>
      </c>
      <c r="E38" s="141">
        <f>VLOOKUP(C38,Punten!$C$3:$R$141,8,0)</f>
        <v>46.561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>
        <f>VLOOKUP(B39,Punten!$C$3:$R$141,8,0)</f>
        <v>60.55899999999999</v>
      </c>
      <c r="E39" s="141">
        <f>VLOOKUP(C39,Punten!$C$3:$R$141,8,0)</f>
        <v>47.463000000000001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>
        <f>VLOOKUP(B40,Punten!$C$3:$R$141,8,0)</f>
        <v>51.968999999999994</v>
      </c>
      <c r="E40" s="141">
        <f>VLOOKUP(C40,Punten!$C$3:$R$141,8,0)</f>
        <v>62.605000000000004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>
        <f>VLOOKUP(B41,Punten!$C$3:$R$141,8,0)</f>
        <v>61.281999999999996</v>
      </c>
      <c r="E41" s="141">
        <f>VLOOKUP(C41,Punten!$C$3:$R$141,8,0)</f>
        <v>46.591999999999999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>
        <f>VLOOKUP(B44,Punten!$C$3:$R$141,9,0)</f>
        <v>66.631</v>
      </c>
      <c r="E44" s="141">
        <f>VLOOKUP(C44,Punten!$C$3:$R$141,9,0)</f>
        <v>55.336000000000006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>
        <f>VLOOKUP(B45,Punten!$C$3:$R$141,9,0)</f>
        <v>63.543999999999997</v>
      </c>
      <c r="E45" s="141">
        <f>VLOOKUP(C45,Punten!$C$3:$R$141,9,0)</f>
        <v>64.594999999999999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>
        <f>VLOOKUP(B46,Punten!$C$3:$R$141,9,0)</f>
        <v>57.513000000000005</v>
      </c>
      <c r="E46" s="141">
        <f>VLOOKUP(C46,Punten!$C$3:$R$141,9,0)</f>
        <v>52.099000000000004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>
        <f>VLOOKUP(B47,Punten!$C$3:$R$141,9,0)</f>
        <v>55.644000000000005</v>
      </c>
      <c r="E47" s="141">
        <f>VLOOKUP(C47,Punten!$C$3:$R$141,9,0)</f>
        <v>75.309000000000012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86"/>
      <c r="B49" s="285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77" t="s">
        <v>219</v>
      </c>
      <c r="B51" s="278"/>
      <c r="C51" s="278"/>
      <c r="D51" s="278"/>
      <c r="E51" s="223"/>
    </row>
    <row r="52" spans="1:7" s="54" customFormat="1" ht="25.2" customHeight="1">
      <c r="A52" s="277" t="s">
        <v>218</v>
      </c>
      <c r="B52" s="278"/>
      <c r="C52" s="278"/>
      <c r="D52" s="278"/>
      <c r="E52" s="226"/>
    </row>
    <row r="53" spans="1:7" ht="19.95" customHeight="1">
      <c r="B53" s="283" t="s">
        <v>97</v>
      </c>
      <c r="C53" s="284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VLOOKUP(B57,Punten!$C$3:$R$141,10,0)</f>
        <v xml:space="preserve"> </v>
      </c>
      <c r="E57" s="141">
        <f>VLOOKUP(C57,Punten!$C$3:$R$141,10,0)</f>
        <v>0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VLOOKUP(B58,Punten!$C$3:$R$141,10,0)</f>
        <v xml:space="preserve"> </v>
      </c>
      <c r="E58" s="141" t="str">
        <f>VLOOKUP(C58,Punten!$C$3:$R$141,10,0)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VLOOKUP(B59,Punten!$C$3:$R$141,10,0)</f>
        <v xml:space="preserve"> </v>
      </c>
      <c r="E59" s="141" t="str">
        <f>VLOOKUP(C59,Punten!$C$3:$R$141,10,0)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VLOOKUP(B60,Punten!$C$3:$R$141,10,0)</f>
        <v xml:space="preserve"> </v>
      </c>
      <c r="E60" s="141" t="str">
        <f>VLOOKUP(C60,Punten!$C$3:$R$141,10,0)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VLOOKUP(B63,Punten!$C$3:$R$141,11,0)</f>
        <v xml:space="preserve"> </v>
      </c>
      <c r="E63" s="141" t="str">
        <f>VLOOKUP(C63,Punten!$C$3:$R$141,11,0)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VLOOKUP(B64,Punten!$C$3:$R$141,11,0)</f>
        <v xml:space="preserve"> </v>
      </c>
      <c r="E64" s="141" t="str">
        <f>VLOOKUP(C64,Punten!$C$3:$R$141,11,0)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VLOOKUP(B65,Punten!$C$3:$R$141,11,0)</f>
        <v xml:space="preserve"> </v>
      </c>
      <c r="E65" s="141" t="str">
        <f>VLOOKUP(C65,Punten!$C$3:$R$141,11,0)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VLOOKUP(B66,Punten!$C$3:$R$141,11,0)</f>
        <v xml:space="preserve"> </v>
      </c>
      <c r="E66" s="141" t="str">
        <f>VLOOKUP(C66,Punten!$C$3:$R$141,11,0)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VLOOKUP(B69,Punten!$C$3:$R$141,12,0)</f>
        <v xml:space="preserve"> </v>
      </c>
      <c r="E69" s="141" t="str">
        <f>VLOOKUP(C69,Punten!$C$3:$R$141,12,0)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VLOOKUP(B70,Punten!$C$3:$R$141,12,0)</f>
        <v xml:space="preserve"> </v>
      </c>
      <c r="E70" s="141" t="str">
        <f>VLOOKUP(C70,Punten!$C$3:$R$141,12,0)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VLOOKUP(B71,Punten!$C$3:$R$141,12,0)</f>
        <v xml:space="preserve"> </v>
      </c>
      <c r="E71" s="141" t="str">
        <f>VLOOKUP(C71,Punten!$C$3:$R$141,12,0)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VLOOKUP(B72,Punten!$C$3:$R$141,12,0)</f>
        <v xml:space="preserve"> </v>
      </c>
      <c r="E72" s="141" t="str">
        <f>VLOOKUP(C72,Punten!$C$3:$R$141,12,0)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VLOOKUP(B75,Punten!$C$3:$R$141,13,0)</f>
        <v xml:space="preserve"> </v>
      </c>
      <c r="E75" s="141" t="str">
        <f>VLOOKUP(C75,Punten!$C$3:$R$141,13,0)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VLOOKUP(B76,Punten!$C$3:$R$141,13,0)</f>
        <v xml:space="preserve"> </v>
      </c>
      <c r="E76" s="141" t="str">
        <f>VLOOKUP(C76,Punten!$C$3:$R$141,13,0)</f>
        <v xml:space="preserve"> </v>
      </c>
    </row>
    <row r="77" spans="1:5" s="76" customFormat="1" ht="19.95" customHeight="1">
      <c r="A77" s="247">
        <v>46092</v>
      </c>
      <c r="B77" s="248" t="s">
        <v>217</v>
      </c>
      <c r="C77" s="248" t="s">
        <v>54</v>
      </c>
      <c r="D77" s="141" t="str">
        <f>VLOOKUP(B77,Punten!$C$3:$R$141,13,0)</f>
        <v xml:space="preserve"> </v>
      </c>
      <c r="E77" s="141" t="str">
        <f>VLOOKUP(C77,Punten!$C$3:$R$141,13,0)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VLOOKUP(B78,Punten!$C$3:$R$141,13,0)</f>
        <v xml:space="preserve"> </v>
      </c>
      <c r="E78" s="141" t="str">
        <f>VLOOKUP(C78,Punten!$C$3:$R$141,13,0)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VLOOKUP(B81,Punten!$C$3:$R$141,14,0)</f>
        <v xml:space="preserve"> </v>
      </c>
      <c r="E81" s="141" t="str">
        <f>VLOOKUP(C81,Punten!$C$3:$R$141,14,0)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VLOOKUP(B82,Punten!$C$3:$R$141,14,0)</f>
        <v xml:space="preserve"> </v>
      </c>
      <c r="E82" s="141" t="str">
        <f>VLOOKUP(C82,Punten!$C$3:$R$141,14,0)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VLOOKUP(B83,Punten!$C$3:$R$141,14,0)</f>
        <v xml:space="preserve"> </v>
      </c>
      <c r="E83" s="141" t="str">
        <f>VLOOKUP(C83,Punten!$C$3:$R$141,14,0)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VLOOKUP(B84,Punten!$C$3:$R$141,14,0)</f>
        <v xml:space="preserve"> </v>
      </c>
      <c r="E84" s="141" t="str">
        <f>VLOOKUP(C84,Punten!$C$3:$R$141,14,0)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VLOOKUP(B87,Punten!$C$3:$R$141,15,0)</f>
        <v xml:space="preserve"> </v>
      </c>
      <c r="E87" s="141" t="str">
        <f>VLOOKUP(C87,Punten!$C$3:$R$141,15,0)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VLOOKUP(B88,Punten!$C$3:$R$141,15,0)</f>
        <v xml:space="preserve"> </v>
      </c>
      <c r="E88" s="141" t="str">
        <f>VLOOKUP(C88,Punten!$C$3:$R$141,15,0)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VLOOKUP(B89,Punten!$C$3:$R$141,15,0)</f>
        <v xml:space="preserve"> </v>
      </c>
      <c r="E89" s="141" t="str">
        <f>VLOOKUP(C89,Punten!$C$3:$R$141,15,0)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VLOOKUP(B90,Punten!$C$3:$R$141,15,0)</f>
        <v xml:space="preserve"> </v>
      </c>
      <c r="E90" s="141" t="str">
        <f>VLOOKUP(C90,Punten!$C$3:$R$141,15,0)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VLOOKUP(B93,Punten!$C$3:$R$141,16,0)</f>
        <v xml:space="preserve"> </v>
      </c>
      <c r="E93" s="141" t="str">
        <f>VLOOKUP(C93,Punten!$C$3:$R$141,16,0)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VLOOKUP(B94,Punten!$C$3:$R$141,16,0)</f>
        <v xml:space="preserve"> </v>
      </c>
      <c r="E94" s="141" t="str">
        <f>VLOOKUP(C94,Punten!$C$3:$R$141,16,0)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VLOOKUP(B95,Punten!$C$3:$R$141,16,0)</f>
        <v xml:space="preserve"> </v>
      </c>
      <c r="E95" s="141" t="str">
        <f>VLOOKUP(C95,Punten!$C$3:$R$141,16,0)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VLOOKUP(B96,Punten!$C$3:$R$141,16,0)</f>
        <v xml:space="preserve"> </v>
      </c>
      <c r="E96" s="141" t="str">
        <f>VLOOKUP(C96,Punten!$C$3:$R$141,16,0)</f>
        <v xml:space="preserve"> </v>
      </c>
    </row>
    <row r="97" spans="1:7" s="76" customFormat="1" ht="10.199999999999999" customHeight="1">
      <c r="A97" s="162"/>
      <c r="B97" s="163"/>
      <c r="C97" s="163"/>
      <c r="D97" s="141"/>
      <c r="E97" s="141"/>
    </row>
    <row r="98" spans="1:7" s="76" customFormat="1" ht="15.6" customHeight="1">
      <c r="A98" s="281" t="s">
        <v>229</v>
      </c>
      <c r="B98" s="282"/>
      <c r="C98" s="246" t="s">
        <v>228</v>
      </c>
      <c r="E98" s="77"/>
      <c r="F98" s="77"/>
      <c r="G98" s="77"/>
    </row>
    <row r="99" spans="1:7" s="76" customFormat="1" ht="15.6">
      <c r="A99" s="279" t="s">
        <v>263</v>
      </c>
      <c r="B99" s="280"/>
      <c r="C99" s="280"/>
      <c r="D99" s="280"/>
      <c r="E99" s="280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topLeftCell="A3" zoomScale="105" zoomScaleNormal="105" workbookViewId="0">
      <selection activeCell="O25" sqref="O25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298" t="s">
        <v>10</v>
      </c>
      <c r="C3" s="300" t="s">
        <v>0</v>
      </c>
      <c r="D3" s="302" t="s">
        <v>113</v>
      </c>
      <c r="E3" s="303"/>
      <c r="F3" s="303"/>
      <c r="G3" s="303"/>
      <c r="H3" s="303"/>
      <c r="I3" s="303"/>
      <c r="J3" s="303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293" t="s">
        <v>114</v>
      </c>
      <c r="Q3" s="294"/>
      <c r="R3" s="294"/>
      <c r="S3" s="294"/>
      <c r="T3" s="294"/>
      <c r="U3" s="294"/>
      <c r="V3" s="294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291" t="s">
        <v>224</v>
      </c>
    </row>
    <row r="4" spans="2:30" ht="15.75" customHeight="1" thickBot="1">
      <c r="B4" s="299"/>
      <c r="C4" s="301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05"/>
      <c r="L4" s="307"/>
      <c r="M4" s="307"/>
      <c r="N4" s="309"/>
      <c r="O4" s="311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288"/>
      <c r="X4" s="290"/>
      <c r="Y4" s="292"/>
      <c r="Z4" s="8"/>
      <c r="AA4" s="288"/>
      <c r="AB4" s="290"/>
      <c r="AC4" s="290"/>
      <c r="AD4" s="292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>
        <v>20</v>
      </c>
      <c r="H5" s="188"/>
      <c r="I5" s="188"/>
      <c r="J5" s="189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4">
        <f t="shared" ref="N5:N15" si="2">IF(K5=0," ",K5/(L5*C5)*100)</f>
        <v>95.833333333333343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4">
        <f t="shared" ref="AD5:AD15" si="7">IF(AA5=0," ",AA5/(AB5*O5)*100)</f>
        <v>95.833333333333343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>
        <v>27</v>
      </c>
      <c r="I6" s="191">
        <v>46</v>
      </c>
      <c r="J6" s="192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>
        <v>22</v>
      </c>
      <c r="H8" s="191">
        <v>24</v>
      </c>
      <c r="I8" s="191"/>
      <c r="J8" s="192">
        <v>30</v>
      </c>
      <c r="K8" s="25">
        <f t="shared" si="0"/>
        <v>109</v>
      </c>
      <c r="L8" s="23">
        <f t="shared" si="1"/>
        <v>5</v>
      </c>
      <c r="M8" s="23">
        <f t="shared" si="8"/>
        <v>21.8</v>
      </c>
      <c r="N8" s="24">
        <f t="shared" si="2"/>
        <v>87.2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109</v>
      </c>
      <c r="AB8" s="23">
        <f t="shared" si="6"/>
        <v>5</v>
      </c>
      <c r="AC8" s="23">
        <f t="shared" si="10"/>
        <v>21.8</v>
      </c>
      <c r="AD8" s="24">
        <f t="shared" si="7"/>
        <v>87.2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>
        <v>26</v>
      </c>
      <c r="H9" s="191"/>
      <c r="I9" s="191"/>
      <c r="J9" s="192"/>
      <c r="K9" s="25">
        <f t="shared" si="0"/>
        <v>153</v>
      </c>
      <c r="L9" s="23">
        <f t="shared" si="1"/>
        <v>4</v>
      </c>
      <c r="M9" s="23">
        <f t="shared" si="8"/>
        <v>38.25</v>
      </c>
      <c r="N9" s="24">
        <f t="shared" si="2"/>
        <v>88.95348837209302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153</v>
      </c>
      <c r="AB9" s="23">
        <f t="shared" si="6"/>
        <v>4</v>
      </c>
      <c r="AC9" s="23">
        <f t="shared" si="10"/>
        <v>38.25</v>
      </c>
      <c r="AD9" s="24">
        <f t="shared" si="7"/>
        <v>88.95348837209302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>
        <v>18</v>
      </c>
      <c r="I10" s="191">
        <v>17</v>
      </c>
      <c r="J10" s="192"/>
      <c r="K10" s="25">
        <f t="shared" si="0"/>
        <v>66</v>
      </c>
      <c r="L10" s="23">
        <f t="shared" si="1"/>
        <v>4</v>
      </c>
      <c r="M10" s="23">
        <f t="shared" si="8"/>
        <v>16.5</v>
      </c>
      <c r="N10" s="24">
        <f t="shared" si="2"/>
        <v>82.5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0"/>
        <v>16.5</v>
      </c>
      <c r="AD10" s="24">
        <f t="shared" si="7"/>
        <v>82.5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>
        <v>11</v>
      </c>
      <c r="H11" s="191">
        <v>21</v>
      </c>
      <c r="I11" s="191">
        <v>9</v>
      </c>
      <c r="J11" s="192">
        <v>13</v>
      </c>
      <c r="K11" s="25">
        <f t="shared" si="0"/>
        <v>64</v>
      </c>
      <c r="L11" s="23">
        <f t="shared" si="1"/>
        <v>5</v>
      </c>
      <c r="M11" s="23">
        <f t="shared" si="8"/>
        <v>12.8</v>
      </c>
      <c r="N11" s="24">
        <f t="shared" si="2"/>
        <v>75.294117647058826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64</v>
      </c>
      <c r="AB11" s="23">
        <f t="shared" si="6"/>
        <v>5</v>
      </c>
      <c r="AC11" s="23">
        <f t="shared" si="10"/>
        <v>12.8</v>
      </c>
      <c r="AD11" s="24">
        <f t="shared" si="7"/>
        <v>75.294117647058826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>
        <v>22</v>
      </c>
      <c r="H12" s="191"/>
      <c r="I12" s="191">
        <v>19</v>
      </c>
      <c r="J12" s="192">
        <v>30</v>
      </c>
      <c r="K12" s="25">
        <f t="shared" si="0"/>
        <v>110</v>
      </c>
      <c r="L12" s="23">
        <f t="shared" si="1"/>
        <v>4</v>
      </c>
      <c r="M12" s="23">
        <f t="shared" si="8"/>
        <v>27.5</v>
      </c>
      <c r="N12" s="24">
        <f t="shared" si="2"/>
        <v>98.214285714285708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4</v>
      </c>
      <c r="AC12" s="23">
        <f t="shared" si="10"/>
        <v>27.5</v>
      </c>
      <c r="AD12" s="24">
        <f t="shared" si="7"/>
        <v>98.214285714285708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>
        <v>25</v>
      </c>
      <c r="H13" s="191">
        <v>23</v>
      </c>
      <c r="I13" s="191"/>
      <c r="J13" s="192"/>
      <c r="K13" s="25">
        <f t="shared" si="0"/>
        <v>48</v>
      </c>
      <c r="L13" s="23">
        <f t="shared" si="1"/>
        <v>2</v>
      </c>
      <c r="M13" s="23">
        <f t="shared" si="8"/>
        <v>24</v>
      </c>
      <c r="N13" s="24">
        <f t="shared" si="2"/>
        <v>104.34782608695652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48</v>
      </c>
      <c r="AB13" s="23">
        <f t="shared" si="6"/>
        <v>2</v>
      </c>
      <c r="AC13" s="23">
        <f t="shared" si="10"/>
        <v>24</v>
      </c>
      <c r="AD13" s="24">
        <f t="shared" si="7"/>
        <v>104.34782608695652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>
        <v>27</v>
      </c>
      <c r="I14" s="191">
        <v>26</v>
      </c>
      <c r="J14" s="192">
        <v>24</v>
      </c>
      <c r="K14" s="25">
        <f t="shared" si="0"/>
        <v>140</v>
      </c>
      <c r="L14" s="23">
        <f t="shared" si="1"/>
        <v>5</v>
      </c>
      <c r="M14" s="23">
        <f t="shared" si="8"/>
        <v>28</v>
      </c>
      <c r="N14" s="24">
        <f t="shared" si="2"/>
        <v>116.66666666666667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140</v>
      </c>
      <c r="AB14" s="23">
        <f t="shared" si="6"/>
        <v>5</v>
      </c>
      <c r="AC14" s="23">
        <f t="shared" si="10"/>
        <v>28</v>
      </c>
      <c r="AD14" s="24">
        <f t="shared" si="7"/>
        <v>116.66666666666667</v>
      </c>
    </row>
    <row r="15" spans="2:30" s="19" customFormat="1" ht="19.95" customHeight="1">
      <c r="B15" s="340" t="s">
        <v>274</v>
      </c>
      <c r="C15" s="184">
        <v>27</v>
      </c>
      <c r="D15" s="190"/>
      <c r="E15" s="191"/>
      <c r="F15" s="191"/>
      <c r="G15" s="191"/>
      <c r="H15" s="191"/>
      <c r="I15" s="191">
        <v>21</v>
      </c>
      <c r="J15" s="192"/>
      <c r="K15" s="25">
        <f t="shared" si="0"/>
        <v>21</v>
      </c>
      <c r="L15" s="23">
        <f t="shared" si="1"/>
        <v>1</v>
      </c>
      <c r="M15" s="23">
        <f t="shared" si="8"/>
        <v>21</v>
      </c>
      <c r="N15" s="24">
        <f t="shared" si="2"/>
        <v>77.777777777777786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65</v>
      </c>
      <c r="AB16" s="23">
        <f t="shared" si="6"/>
        <v>2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126</v>
      </c>
      <c r="H20" s="36">
        <f t="shared" si="11"/>
        <v>140</v>
      </c>
      <c r="I20" s="36">
        <f t="shared" si="11"/>
        <v>138</v>
      </c>
      <c r="J20" s="36">
        <f t="shared" si="11"/>
        <v>177</v>
      </c>
      <c r="K20" s="135">
        <f t="shared" si="11"/>
        <v>1129</v>
      </c>
      <c r="L20" s="36">
        <f t="shared" si="11"/>
        <v>42</v>
      </c>
      <c r="M20" s="35">
        <f>K20/L20</f>
        <v>26.88095238095238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1129</v>
      </c>
      <c r="AB20" s="35">
        <f>SUM(AB5:AB19)</f>
        <v>42</v>
      </c>
      <c r="AC20" s="35">
        <f>AA20/AB20</f>
        <v>26.88095238095238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topLeftCell="A5" zoomScale="105" zoomScaleNormal="105" workbookViewId="0">
      <selection activeCell="T12" sqref="T1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313" t="s">
        <v>176</v>
      </c>
      <c r="C3" s="300" t="s">
        <v>0</v>
      </c>
      <c r="D3" s="293" t="s">
        <v>109</v>
      </c>
      <c r="E3" s="315"/>
      <c r="F3" s="315"/>
      <c r="G3" s="315"/>
      <c r="H3" s="315"/>
      <c r="I3" s="315"/>
      <c r="J3" s="315"/>
      <c r="K3" s="287" t="s">
        <v>1</v>
      </c>
      <c r="L3" s="317" t="s">
        <v>2</v>
      </c>
      <c r="M3" s="289" t="s">
        <v>3</v>
      </c>
      <c r="N3" s="317" t="s">
        <v>224</v>
      </c>
      <c r="O3" s="320" t="s">
        <v>4</v>
      </c>
      <c r="P3" s="293" t="s">
        <v>112</v>
      </c>
      <c r="Q3" s="294"/>
      <c r="R3" s="294"/>
      <c r="S3" s="294"/>
      <c r="T3" s="294"/>
      <c r="U3" s="294"/>
      <c r="V3" s="294"/>
      <c r="W3" s="287" t="s">
        <v>1</v>
      </c>
      <c r="X3" s="306" t="s">
        <v>2</v>
      </c>
      <c r="Y3" s="291" t="s">
        <v>5</v>
      </c>
      <c r="Z3" s="143"/>
      <c r="AA3" s="287" t="s">
        <v>1</v>
      </c>
      <c r="AB3" s="306" t="s">
        <v>2</v>
      </c>
      <c r="AC3" s="322" t="s">
        <v>6</v>
      </c>
      <c r="AD3" s="291" t="s">
        <v>224</v>
      </c>
    </row>
    <row r="4" spans="2:30" ht="15" thickBot="1">
      <c r="B4" s="314"/>
      <c r="C4" s="301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16"/>
      <c r="L4" s="318"/>
      <c r="M4" s="319"/>
      <c r="N4" s="318"/>
      <c r="O4" s="32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12"/>
      <c r="Y4" s="324"/>
      <c r="Z4" s="144"/>
      <c r="AA4" s="316"/>
      <c r="AB4" s="312"/>
      <c r="AC4" s="323"/>
      <c r="AD4" s="324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4">
        <f t="shared" ref="N5:N19" si="2">IF(K5=0," ",K5/(L5*C5)*100)</f>
        <v>123.52941176470588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126</v>
      </c>
      <c r="AB5" s="14">
        <f t="shared" ref="AB5:AB19" si="6">L5+X5</f>
        <v>3</v>
      </c>
      <c r="AC5" s="14">
        <f>IF(AA5=0," ",AA5/AB5)</f>
        <v>42</v>
      </c>
      <c r="AD5" s="104">
        <f t="shared" ref="AD5:AD19" si="7">IF(AA5=0," ",AA5/(AB5*O5)*100)</f>
        <v>123.52941176470588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>
        <v>77</v>
      </c>
      <c r="H6" s="191">
        <v>52</v>
      </c>
      <c r="I6" s="191">
        <v>63</v>
      </c>
      <c r="J6" s="192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253</v>
      </c>
      <c r="AB6" s="23">
        <f t="shared" si="6"/>
        <v>4</v>
      </c>
      <c r="AC6" s="23">
        <f>IF(AA6=0," ",AA6/AB6)</f>
        <v>63.25</v>
      </c>
      <c r="AD6" s="24">
        <f t="shared" si="7"/>
        <v>129.08163265306123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>
        <v>25</v>
      </c>
      <c r="H7" s="191"/>
      <c r="I7" s="191"/>
      <c r="J7" s="192"/>
      <c r="K7" s="25">
        <f t="shared" si="0"/>
        <v>25</v>
      </c>
      <c r="L7" s="23">
        <f t="shared" si="1"/>
        <v>1</v>
      </c>
      <c r="M7" s="23">
        <f t="shared" ref="M7:M18" si="8">IF(K7=0," ",K7/L7)</f>
        <v>25</v>
      </c>
      <c r="N7" s="24">
        <f t="shared" si="2"/>
        <v>65.789473684210535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0">IF(AA7=0," ",AA7/AB7)</f>
        <v>25</v>
      </c>
      <c r="AD7" s="24">
        <f t="shared" si="7"/>
        <v>65.789473684210535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>
        <v>10</v>
      </c>
      <c r="H8" s="191">
        <v>27</v>
      </c>
      <c r="I8" s="191"/>
      <c r="J8" s="192">
        <v>10</v>
      </c>
      <c r="K8" s="25">
        <f t="shared" si="0"/>
        <v>89</v>
      </c>
      <c r="L8" s="23">
        <f t="shared" si="1"/>
        <v>5</v>
      </c>
      <c r="M8" s="23">
        <f t="shared" si="8"/>
        <v>17.8</v>
      </c>
      <c r="N8" s="24">
        <f t="shared" si="2"/>
        <v>98.888888888888886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89</v>
      </c>
      <c r="AB8" s="23">
        <f t="shared" si="6"/>
        <v>5</v>
      </c>
      <c r="AC8" s="23">
        <f t="shared" si="10"/>
        <v>17.8</v>
      </c>
      <c r="AD8" s="24">
        <f t="shared" si="7"/>
        <v>98.888888888888886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>
        <v>39</v>
      </c>
      <c r="I9" s="191">
        <v>32</v>
      </c>
      <c r="J9" s="192"/>
      <c r="K9" s="25">
        <f t="shared" si="0"/>
        <v>71</v>
      </c>
      <c r="L9" s="23">
        <f t="shared" si="1"/>
        <v>2</v>
      </c>
      <c r="M9" s="23">
        <f t="shared" si="8"/>
        <v>35.5</v>
      </c>
      <c r="N9" s="24">
        <f t="shared" si="2"/>
        <v>131.4814814814815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71</v>
      </c>
      <c r="AB9" s="23">
        <f t="shared" si="6"/>
        <v>2</v>
      </c>
      <c r="AC9" s="23">
        <f t="shared" si="10"/>
        <v>35.5</v>
      </c>
      <c r="AD9" s="24">
        <f t="shared" si="7"/>
        <v>131.4814814814815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>
        <v>40</v>
      </c>
      <c r="H10" s="191">
        <v>74</v>
      </c>
      <c r="I10" s="191">
        <v>37</v>
      </c>
      <c r="J10" s="192"/>
      <c r="K10" s="25">
        <f t="shared" si="0"/>
        <v>239</v>
      </c>
      <c r="L10" s="23">
        <f t="shared" si="1"/>
        <v>5</v>
      </c>
      <c r="M10" s="23">
        <f t="shared" si="8"/>
        <v>47.8</v>
      </c>
      <c r="N10" s="24">
        <f t="shared" si="2"/>
        <v>75.873015873015873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0"/>
        <v>47.8</v>
      </c>
      <c r="AD10" s="24">
        <f t="shared" si="7"/>
        <v>75.873015873015873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>
        <v>45</v>
      </c>
      <c r="H11" s="191"/>
      <c r="I11" s="191">
        <v>33</v>
      </c>
      <c r="J11" s="192">
        <v>53</v>
      </c>
      <c r="K11" s="25">
        <f t="shared" si="0"/>
        <v>131</v>
      </c>
      <c r="L11" s="23">
        <f t="shared" si="1"/>
        <v>3</v>
      </c>
      <c r="M11" s="23">
        <f t="shared" si="8"/>
        <v>43.666666666666664</v>
      </c>
      <c r="N11" s="24">
        <f t="shared" si="2"/>
        <v>85.620915032679733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0"/>
        <v>43.666666666666664</v>
      </c>
      <c r="AD11" s="24">
        <f t="shared" si="7"/>
        <v>85.620915032679733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>
        <v>34</v>
      </c>
      <c r="J13" s="192"/>
      <c r="K13" s="25">
        <f t="shared" si="0"/>
        <v>210</v>
      </c>
      <c r="L13" s="23">
        <f t="shared" si="1"/>
        <v>3</v>
      </c>
      <c r="M13" s="23">
        <f t="shared" si="8"/>
        <v>70</v>
      </c>
      <c r="N13" s="24">
        <f t="shared" si="2"/>
        <v>80.459770114942529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210</v>
      </c>
      <c r="AB13" s="23">
        <f t="shared" si="6"/>
        <v>3</v>
      </c>
      <c r="AC13" s="23">
        <f t="shared" si="10"/>
        <v>70</v>
      </c>
      <c r="AD13" s="24">
        <f t="shared" si="7"/>
        <v>80.459770114942529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>
        <v>40</v>
      </c>
      <c r="H15" s="191"/>
      <c r="I15" s="191"/>
      <c r="J15" s="192">
        <v>48</v>
      </c>
      <c r="K15" s="25">
        <f t="shared" si="0"/>
        <v>155</v>
      </c>
      <c r="L15" s="23">
        <f t="shared" si="1"/>
        <v>3</v>
      </c>
      <c r="M15" s="23">
        <f t="shared" si="8"/>
        <v>51.666666666666664</v>
      </c>
      <c r="N15" s="24">
        <f t="shared" si="2"/>
        <v>89.080459770114942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0"/>
        <v>51.666666666666664</v>
      </c>
      <c r="AD15" s="24">
        <f t="shared" si="7"/>
        <v>89.080459770114942</v>
      </c>
    </row>
    <row r="16" spans="2:30" s="19" customFormat="1" ht="19.95" customHeight="1">
      <c r="B16" s="51" t="s">
        <v>245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271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67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59</v>
      </c>
      <c r="AB17" s="23">
        <f t="shared" si="6"/>
        <v>3</v>
      </c>
      <c r="AC17" s="23">
        <f>IF(AA17=0," ",AA17/AB17)</f>
        <v>19.666666666666668</v>
      </c>
      <c r="AD17" s="24">
        <f t="shared" si="7"/>
        <v>98.333333333333329</v>
      </c>
    </row>
    <row r="18" spans="2:30" s="19" customFormat="1" ht="19.95" customHeight="1">
      <c r="B18" s="51" t="s">
        <v>270</v>
      </c>
      <c r="C18" s="184">
        <v>31</v>
      </c>
      <c r="D18" s="190"/>
      <c r="E18" s="191">
        <v>34</v>
      </c>
      <c r="F18" s="191"/>
      <c r="G18" s="191"/>
      <c r="H18" s="191">
        <v>30</v>
      </c>
      <c r="I18" s="191">
        <v>28</v>
      </c>
      <c r="J18" s="192"/>
      <c r="K18" s="25">
        <f t="shared" si="0"/>
        <v>92</v>
      </c>
      <c r="L18" s="23">
        <f t="shared" si="1"/>
        <v>3</v>
      </c>
      <c r="M18" s="23">
        <f t="shared" si="8"/>
        <v>30.666666666666668</v>
      </c>
      <c r="N18" s="24">
        <f t="shared" si="2"/>
        <v>98.924731182795696</v>
      </c>
      <c r="O18" s="267">
        <v>31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92</v>
      </c>
      <c r="AB18" s="23">
        <f t="shared" si="6"/>
        <v>3</v>
      </c>
      <c r="AC18" s="23">
        <f t="shared" si="10"/>
        <v>30.666666666666668</v>
      </c>
      <c r="AD18" s="24">
        <f t="shared" si="7"/>
        <v>98.924731182795696</v>
      </c>
    </row>
    <row r="19" spans="2:30" s="19" customFormat="1" ht="19.95" customHeight="1" thickBot="1">
      <c r="B19" s="174" t="s">
        <v>247</v>
      </c>
      <c r="C19" s="175">
        <v>28</v>
      </c>
      <c r="D19" s="193">
        <v>23</v>
      </c>
      <c r="E19" s="194"/>
      <c r="F19" s="194">
        <v>12</v>
      </c>
      <c r="G19" s="194"/>
      <c r="H19" s="194">
        <v>27</v>
      </c>
      <c r="I19" s="194"/>
      <c r="J19" s="195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</row>
    <row r="20" spans="2:30" s="50" customFormat="1" ht="20.100000000000001" customHeight="1" thickBot="1">
      <c r="B20" s="48"/>
      <c r="C20" s="49">
        <f>SUM(C5:C19)</f>
        <v>593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237</v>
      </c>
      <c r="H20" s="36">
        <f t="shared" si="11"/>
        <v>249</v>
      </c>
      <c r="I20" s="36">
        <f t="shared" si="11"/>
        <v>227</v>
      </c>
      <c r="J20" s="36">
        <f t="shared" si="11"/>
        <v>226</v>
      </c>
      <c r="K20" s="135">
        <f t="shared" si="11"/>
        <v>1618</v>
      </c>
      <c r="L20" s="36">
        <f t="shared" si="11"/>
        <v>42</v>
      </c>
      <c r="M20" s="35">
        <f>K20/L20</f>
        <v>38.523809523809526</v>
      </c>
      <c r="N20" s="37"/>
      <c r="O20" s="38">
        <f t="shared" ref="O20:X20" si="12">SUM(O5:O19)</f>
        <v>593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1618</v>
      </c>
      <c r="AB20" s="35">
        <f>SUM(AB5:AB19)</f>
        <v>42</v>
      </c>
      <c r="AC20" s="35">
        <f>AA20/AB20</f>
        <v>38.523809523809526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O13" sqref="O13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298" t="s">
        <v>243</v>
      </c>
      <c r="C3" s="300" t="s">
        <v>0</v>
      </c>
      <c r="D3" s="302" t="s">
        <v>113</v>
      </c>
      <c r="E3" s="303"/>
      <c r="F3" s="303"/>
      <c r="G3" s="303"/>
      <c r="H3" s="303"/>
      <c r="I3" s="303"/>
      <c r="J3" s="303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302" t="s">
        <v>112</v>
      </c>
      <c r="Q3" s="328"/>
      <c r="R3" s="328"/>
      <c r="S3" s="328"/>
      <c r="T3" s="328"/>
      <c r="U3" s="328"/>
      <c r="V3" s="328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291" t="s">
        <v>224</v>
      </c>
    </row>
    <row r="4" spans="2:30" ht="15" thickBot="1">
      <c r="B4" s="299"/>
      <c r="C4" s="325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26"/>
      <c r="L4" s="312"/>
      <c r="M4" s="312"/>
      <c r="N4" s="327"/>
      <c r="O4" s="311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16"/>
      <c r="X4" s="319"/>
      <c r="Y4" s="324"/>
      <c r="Z4" s="8"/>
      <c r="AA4" s="316"/>
      <c r="AB4" s="319"/>
      <c r="AC4" s="319"/>
      <c r="AD4" s="324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62">
        <v>21</v>
      </c>
      <c r="F5" s="188">
        <v>30</v>
      </c>
      <c r="G5" s="264">
        <v>42</v>
      </c>
      <c r="H5" s="188">
        <v>15</v>
      </c>
      <c r="I5" s="188">
        <v>36</v>
      </c>
      <c r="J5" s="189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4">
        <f t="shared" ref="N5:N14" si="2">IF(K5=0," ",K5/(L5*C5)*100)</f>
        <v>70.714285714285722</v>
      </c>
      <c r="O5" s="87">
        <v>40</v>
      </c>
      <c r="P5" s="266">
        <v>50</v>
      </c>
      <c r="Q5" s="188"/>
      <c r="R5" s="188"/>
      <c r="S5" s="188"/>
      <c r="T5" s="188"/>
      <c r="U5" s="188"/>
      <c r="V5" s="189"/>
      <c r="W5" s="17">
        <f t="shared" ref="W5:W14" si="3">SUM(P5:V5)</f>
        <v>50</v>
      </c>
      <c r="X5" s="14">
        <f t="shared" ref="X5:X14" si="4">COUNTIF(P5:V5,"&gt;0")</f>
        <v>1</v>
      </c>
      <c r="Y5" s="104">
        <f>IF(W5=0," ",W5/X5)</f>
        <v>50</v>
      </c>
      <c r="Z5" s="18"/>
      <c r="AA5" s="17">
        <f t="shared" ref="AA5:AA14" si="5">K5+W5</f>
        <v>248</v>
      </c>
      <c r="AB5" s="14">
        <f t="shared" ref="AB5:AB14" si="6">L5+X5</f>
        <v>8</v>
      </c>
      <c r="AC5" s="14">
        <f>IF(AA5=0," ",AA5/AB5)</f>
        <v>31</v>
      </c>
      <c r="AD5" s="104">
        <f t="shared" ref="AD5:AD14" si="7">IF(AA5=0," ",AA5/(AB5*O5)*100)</f>
        <v>77.5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>
        <v>16</v>
      </c>
      <c r="I6" s="191">
        <v>20</v>
      </c>
      <c r="J6" s="192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77</v>
      </c>
      <c r="AB6" s="23">
        <f t="shared" si="6"/>
        <v>4</v>
      </c>
      <c r="AC6" s="23">
        <f>IF(AA6=0," ",AA6/AB6)</f>
        <v>19.25</v>
      </c>
      <c r="AD6" s="24">
        <f t="shared" si="7"/>
        <v>128.33333333333334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265">
        <v>18</v>
      </c>
      <c r="H7" s="191"/>
      <c r="I7" s="191">
        <v>21</v>
      </c>
      <c r="J7" s="192">
        <v>7</v>
      </c>
      <c r="K7" s="25">
        <f t="shared" si="0"/>
        <v>80</v>
      </c>
      <c r="L7" s="23">
        <f t="shared" si="1"/>
        <v>5</v>
      </c>
      <c r="M7" s="23">
        <f t="shared" ref="M7:M19" si="8">IF(K7=0," ",K7/L7)</f>
        <v>16</v>
      </c>
      <c r="N7" s="24">
        <f t="shared" si="2"/>
        <v>88.888888888888886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80</v>
      </c>
      <c r="AB7" s="23">
        <f t="shared" si="6"/>
        <v>5</v>
      </c>
      <c r="AC7" s="23">
        <f t="shared" ref="AC7:AC19" si="10">IF(AA7=0," ",AA7/AB7)</f>
        <v>16</v>
      </c>
      <c r="AD7" s="24">
        <f t="shared" si="7"/>
        <v>88.888888888888886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265">
        <v>23</v>
      </c>
      <c r="H8" s="191">
        <v>16</v>
      </c>
      <c r="I8" s="191">
        <v>12</v>
      </c>
      <c r="J8" s="192">
        <v>19</v>
      </c>
      <c r="K8" s="25">
        <f t="shared" si="0"/>
        <v>86</v>
      </c>
      <c r="L8" s="23">
        <f t="shared" si="1"/>
        <v>5</v>
      </c>
      <c r="M8" s="23">
        <f t="shared" si="8"/>
        <v>17.2</v>
      </c>
      <c r="N8" s="24">
        <f t="shared" si="2"/>
        <v>95.555555555555557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86</v>
      </c>
      <c r="AB8" s="23">
        <f t="shared" si="6"/>
        <v>5</v>
      </c>
      <c r="AC8" s="23">
        <f t="shared" si="10"/>
        <v>17.2</v>
      </c>
      <c r="AD8" s="24">
        <f t="shared" si="7"/>
        <v>95.555555555555557</v>
      </c>
    </row>
    <row r="9" spans="2:30" s="19" customFormat="1" ht="19.95" customHeight="1">
      <c r="B9" s="51" t="s">
        <v>150</v>
      </c>
      <c r="C9" s="88">
        <v>59</v>
      </c>
      <c r="D9" s="190"/>
      <c r="E9" s="263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>
        <v>6</v>
      </c>
      <c r="I10" s="191"/>
      <c r="J10" s="192"/>
      <c r="K10" s="25">
        <f t="shared" si="0"/>
        <v>6</v>
      </c>
      <c r="L10" s="23">
        <f t="shared" si="1"/>
        <v>1</v>
      </c>
      <c r="M10" s="23">
        <f t="shared" si="8"/>
        <v>6</v>
      </c>
      <c r="N10" s="24">
        <f t="shared" si="2"/>
        <v>40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0"/>
        <v>6</v>
      </c>
      <c r="AD10" s="24">
        <f t="shared" si="7"/>
        <v>40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265">
        <v>31</v>
      </c>
      <c r="H11" s="191">
        <v>27</v>
      </c>
      <c r="I11" s="191">
        <v>20</v>
      </c>
      <c r="J11" s="192">
        <v>22</v>
      </c>
      <c r="K11" s="25">
        <f t="shared" si="0"/>
        <v>147</v>
      </c>
      <c r="L11" s="23">
        <f t="shared" si="1"/>
        <v>6</v>
      </c>
      <c r="M11" s="23">
        <f t="shared" si="8"/>
        <v>24.5</v>
      </c>
      <c r="N11" s="24">
        <f t="shared" si="2"/>
        <v>87.5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147</v>
      </c>
      <c r="AB11" s="23">
        <f t="shared" si="6"/>
        <v>6</v>
      </c>
      <c r="AC11" s="23">
        <f t="shared" si="10"/>
        <v>24.5</v>
      </c>
      <c r="AD11" s="24">
        <f t="shared" si="7"/>
        <v>87.5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63">
        <v>11</v>
      </c>
      <c r="F12" s="191">
        <v>28</v>
      </c>
      <c r="G12" s="191"/>
      <c r="H12" s="191"/>
      <c r="I12" s="191">
        <v>24</v>
      </c>
      <c r="J12" s="192">
        <v>21</v>
      </c>
      <c r="K12" s="25">
        <f t="shared" si="0"/>
        <v>103</v>
      </c>
      <c r="L12" s="23">
        <f t="shared" si="1"/>
        <v>5</v>
      </c>
      <c r="M12" s="23">
        <f t="shared" si="8"/>
        <v>20.6</v>
      </c>
      <c r="N12" s="24">
        <f t="shared" si="2"/>
        <v>89.565217391304358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103</v>
      </c>
      <c r="AB12" s="23">
        <f t="shared" si="6"/>
        <v>5</v>
      </c>
      <c r="AC12" s="23">
        <f t="shared" si="10"/>
        <v>20.6</v>
      </c>
      <c r="AD12" s="24">
        <f t="shared" si="7"/>
        <v>89.565217391304358</v>
      </c>
    </row>
    <row r="13" spans="2:30" s="19" customFormat="1" ht="19.95" customHeight="1">
      <c r="B13" s="51" t="s">
        <v>258</v>
      </c>
      <c r="C13" s="184">
        <v>15</v>
      </c>
      <c r="D13" s="190">
        <v>15</v>
      </c>
      <c r="E13" s="263">
        <v>4</v>
      </c>
      <c r="F13" s="263">
        <v>11</v>
      </c>
      <c r="G13" s="191"/>
      <c r="H13" s="191">
        <v>6</v>
      </c>
      <c r="I13" s="191"/>
      <c r="J13" s="192"/>
      <c r="K13" s="25">
        <f t="shared" si="0"/>
        <v>36</v>
      </c>
      <c r="L13" s="23">
        <f t="shared" si="1"/>
        <v>4</v>
      </c>
      <c r="M13" s="23">
        <f t="shared" si="8"/>
        <v>9</v>
      </c>
      <c r="N13" s="24">
        <f t="shared" si="2"/>
        <v>60</v>
      </c>
      <c r="O13" s="267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36</v>
      </c>
      <c r="AB13" s="23">
        <f t="shared" si="6"/>
        <v>4</v>
      </c>
      <c r="AC13" s="23">
        <f t="shared" si="10"/>
        <v>9</v>
      </c>
      <c r="AD13" s="24">
        <f t="shared" si="7"/>
        <v>60</v>
      </c>
    </row>
    <row r="14" spans="2:30" s="19" customFormat="1" ht="19.95" customHeight="1">
      <c r="B14" s="51" t="s">
        <v>137</v>
      </c>
      <c r="C14" s="88">
        <v>22</v>
      </c>
      <c r="D14" s="190"/>
      <c r="E14" s="263">
        <v>22</v>
      </c>
      <c r="F14" s="191">
        <v>22</v>
      </c>
      <c r="G14" s="265">
        <v>15</v>
      </c>
      <c r="H14" s="191"/>
      <c r="I14" s="191"/>
      <c r="J14" s="192"/>
      <c r="K14" s="25">
        <f t="shared" si="0"/>
        <v>59</v>
      </c>
      <c r="L14" s="23">
        <f t="shared" si="1"/>
        <v>3</v>
      </c>
      <c r="M14" s="23">
        <f t="shared" si="8"/>
        <v>19.666666666666668</v>
      </c>
      <c r="N14" s="24">
        <f t="shared" si="2"/>
        <v>89.393939393939391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59</v>
      </c>
      <c r="AB14" s="23">
        <f t="shared" si="6"/>
        <v>3</v>
      </c>
      <c r="AC14" s="23">
        <f t="shared" si="10"/>
        <v>19.666666666666668</v>
      </c>
      <c r="AD14" s="24">
        <f t="shared" si="7"/>
        <v>89.393939393939391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>SUM(G5:G19)+P5</f>
        <v>179</v>
      </c>
      <c r="H20" s="36">
        <f>SUM(H5:H19)</f>
        <v>86</v>
      </c>
      <c r="I20" s="36">
        <f>SUM(I5:I19)</f>
        <v>133</v>
      </c>
      <c r="J20" s="36">
        <f>SUM(J5:J19)-J5</f>
        <v>91</v>
      </c>
      <c r="K20" s="135">
        <f t="shared" si="12"/>
        <v>839</v>
      </c>
      <c r="L20" s="36">
        <f t="shared" si="12"/>
        <v>41</v>
      </c>
      <c r="M20" s="35">
        <f>K20/L20</f>
        <v>20.463414634146343</v>
      </c>
      <c r="N20" s="37"/>
      <c r="O20" s="38">
        <f t="shared" ref="O20:X20" si="13">SUM(O5:O19)</f>
        <v>253</v>
      </c>
      <c r="P20" s="39">
        <f>SUM(P5:P19)-P5</f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50</v>
      </c>
      <c r="X20" s="35">
        <f t="shared" si="13"/>
        <v>1</v>
      </c>
      <c r="Y20" s="41">
        <f>W20/X20</f>
        <v>50</v>
      </c>
      <c r="Z20" s="44"/>
      <c r="AA20" s="43">
        <f>SUM(AA5:AA19)</f>
        <v>889</v>
      </c>
      <c r="AB20" s="35">
        <f>SUM(AB5:AB19)</f>
        <v>42</v>
      </c>
      <c r="AC20" s="35">
        <f>AA20/AB20</f>
        <v>21.166666666666668</v>
      </c>
      <c r="AD20" s="37"/>
    </row>
    <row r="22" spans="2:30">
      <c r="B22"/>
    </row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J12" sqref="J1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298" t="s">
        <v>155</v>
      </c>
      <c r="C3" s="300" t="s">
        <v>0</v>
      </c>
      <c r="D3" s="293" t="s">
        <v>111</v>
      </c>
      <c r="E3" s="294"/>
      <c r="F3" s="294"/>
      <c r="G3" s="294"/>
      <c r="H3" s="294"/>
      <c r="I3" s="294"/>
      <c r="J3" s="294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293" t="s">
        <v>112</v>
      </c>
      <c r="Q3" s="294"/>
      <c r="R3" s="294"/>
      <c r="S3" s="294"/>
      <c r="T3" s="294"/>
      <c r="U3" s="294"/>
      <c r="V3" s="294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291" t="s">
        <v>224</v>
      </c>
    </row>
    <row r="4" spans="2:30" ht="15.75" customHeight="1" thickBot="1">
      <c r="B4" s="299"/>
      <c r="C4" s="325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5"/>
      <c r="L4" s="307"/>
      <c r="M4" s="307"/>
      <c r="N4" s="309"/>
      <c r="O4" s="311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16"/>
      <c r="X4" s="319"/>
      <c r="Y4" s="324"/>
      <c r="Z4" s="8"/>
      <c r="AA4" s="288"/>
      <c r="AB4" s="290"/>
      <c r="AC4" s="290"/>
      <c r="AD4" s="292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>
        <v>33</v>
      </c>
      <c r="H6" s="191">
        <v>36</v>
      </c>
      <c r="I6" s="191"/>
      <c r="J6" s="192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>
        <v>39</v>
      </c>
      <c r="H7" s="191"/>
      <c r="I7" s="191"/>
      <c r="J7" s="192"/>
      <c r="K7" s="25">
        <f t="shared" si="0"/>
        <v>196</v>
      </c>
      <c r="L7" s="23">
        <f t="shared" si="1"/>
        <v>4</v>
      </c>
      <c r="M7" s="23">
        <f t="shared" ref="M7:M17" si="8">IF(K7=0," ",K7/L7)</f>
        <v>49</v>
      </c>
      <c r="N7" s="24">
        <f t="shared" si="2"/>
        <v>90.740740740740748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0">IF(AA7=0," ",AA7/AB7)</f>
        <v>49</v>
      </c>
      <c r="AD7" s="24">
        <f t="shared" si="7"/>
        <v>90.740740740740748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>
        <v>48</v>
      </c>
      <c r="H8" s="191">
        <v>48</v>
      </c>
      <c r="I8" s="191">
        <v>17</v>
      </c>
      <c r="J8" s="192"/>
      <c r="K8" s="25">
        <f t="shared" si="0"/>
        <v>147</v>
      </c>
      <c r="L8" s="23">
        <f t="shared" si="1"/>
        <v>4</v>
      </c>
      <c r="M8" s="23">
        <f t="shared" si="8"/>
        <v>36.75</v>
      </c>
      <c r="N8" s="24">
        <f t="shared" si="2"/>
        <v>108.08823529411764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0"/>
        <v>36.75</v>
      </c>
      <c r="AD8" s="24">
        <f t="shared" si="7"/>
        <v>108.08823529411764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>
        <v>29</v>
      </c>
      <c r="K9" s="25">
        <f t="shared" si="0"/>
        <v>29</v>
      </c>
      <c r="L9" s="23">
        <f t="shared" si="1"/>
        <v>1</v>
      </c>
      <c r="M9" s="23">
        <f t="shared" si="8"/>
        <v>29</v>
      </c>
      <c r="N9" s="24">
        <f t="shared" si="2"/>
        <v>161.11111111111111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0"/>
        <v>29</v>
      </c>
      <c r="AD9" s="24">
        <f t="shared" si="7"/>
        <v>161.11111111111111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>
        <v>22</v>
      </c>
      <c r="J10" s="192">
        <v>25</v>
      </c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147.91666666666669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147.91666666666669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>
        <v>59</v>
      </c>
      <c r="I12" s="191">
        <v>42</v>
      </c>
      <c r="J12" s="192">
        <v>63</v>
      </c>
      <c r="K12" s="25">
        <f t="shared" si="0"/>
        <v>164</v>
      </c>
      <c r="L12" s="23">
        <f t="shared" si="1"/>
        <v>3</v>
      </c>
      <c r="M12" s="23">
        <f t="shared" si="8"/>
        <v>54.666666666666664</v>
      </c>
      <c r="N12" s="24">
        <f t="shared" si="2"/>
        <v>86.772486772486772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164</v>
      </c>
      <c r="AB12" s="23">
        <f t="shared" si="6"/>
        <v>3</v>
      </c>
      <c r="AC12" s="23">
        <f t="shared" si="10"/>
        <v>54.666666666666664</v>
      </c>
      <c r="AD12" s="24">
        <f t="shared" si="7"/>
        <v>86.772486772486772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>
        <v>28</v>
      </c>
      <c r="H13" s="191">
        <v>25</v>
      </c>
      <c r="I13" s="191"/>
      <c r="J13" s="192">
        <v>14</v>
      </c>
      <c r="K13" s="25">
        <f t="shared" si="0"/>
        <v>67</v>
      </c>
      <c r="L13" s="23">
        <f t="shared" si="1"/>
        <v>3</v>
      </c>
      <c r="M13" s="23">
        <f t="shared" si="8"/>
        <v>22.333333333333332</v>
      </c>
      <c r="N13" s="24">
        <f t="shared" si="2"/>
        <v>82.716049382716051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0"/>
        <v>22.333333333333332</v>
      </c>
      <c r="AD13" s="24">
        <f t="shared" si="7"/>
        <v>82.716049382716051</v>
      </c>
    </row>
    <row r="14" spans="2:30" s="19" customFormat="1" ht="19.95" customHeight="1">
      <c r="B14" s="51" t="s">
        <v>242</v>
      </c>
      <c r="C14" s="184">
        <v>25</v>
      </c>
      <c r="D14" s="190">
        <v>26</v>
      </c>
      <c r="E14" s="191"/>
      <c r="F14" s="191"/>
      <c r="G14" s="191">
        <v>28</v>
      </c>
      <c r="H14" s="191"/>
      <c r="I14" s="191"/>
      <c r="J14" s="192"/>
      <c r="K14" s="25">
        <f t="shared" si="0"/>
        <v>54</v>
      </c>
      <c r="L14" s="23">
        <f t="shared" si="1"/>
        <v>2</v>
      </c>
      <c r="M14" s="23">
        <f t="shared" si="8"/>
        <v>27</v>
      </c>
      <c r="N14" s="24">
        <f t="shared" si="2"/>
        <v>108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0"/>
        <v>27</v>
      </c>
      <c r="AD14" s="24">
        <f t="shared" si="7"/>
        <v>108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>
        <v>25</v>
      </c>
      <c r="H15" s="191">
        <v>35</v>
      </c>
      <c r="I15" s="191">
        <v>24</v>
      </c>
      <c r="J15" s="192"/>
      <c r="K15" s="25">
        <f t="shared" si="0"/>
        <v>108</v>
      </c>
      <c r="L15" s="23">
        <f t="shared" si="1"/>
        <v>4</v>
      </c>
      <c r="M15" s="23">
        <f t="shared" si="8"/>
        <v>27</v>
      </c>
      <c r="N15" s="24">
        <f t="shared" si="2"/>
        <v>90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0"/>
        <v>27</v>
      </c>
      <c r="AD15" s="24">
        <f t="shared" si="7"/>
        <v>90</v>
      </c>
    </row>
    <row r="16" spans="2:30" s="19" customFormat="1" ht="19.95" customHeight="1">
      <c r="B16" s="51" t="s">
        <v>248</v>
      </c>
      <c r="C16" s="88">
        <v>16</v>
      </c>
      <c r="D16" s="190"/>
      <c r="E16" s="191"/>
      <c r="F16" s="191"/>
      <c r="G16" s="191"/>
      <c r="H16" s="191">
        <v>19</v>
      </c>
      <c r="I16" s="191">
        <v>9</v>
      </c>
      <c r="J16" s="192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</row>
    <row r="17" spans="2:30" s="19" customFormat="1" ht="19.95" customHeight="1">
      <c r="B17" s="51" t="s">
        <v>249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>
        <v>32</v>
      </c>
      <c r="J17" s="192"/>
      <c r="K17" s="25">
        <f t="shared" si="0"/>
        <v>101</v>
      </c>
      <c r="L17" s="23">
        <f t="shared" si="1"/>
        <v>3</v>
      </c>
      <c r="M17" s="23">
        <f t="shared" si="8"/>
        <v>33.666666666666664</v>
      </c>
      <c r="N17" s="24">
        <f t="shared" si="2"/>
        <v>88.596491228070178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101</v>
      </c>
      <c r="AB17" s="23">
        <f t="shared" si="6"/>
        <v>3</v>
      </c>
      <c r="AC17" s="23">
        <f t="shared" si="10"/>
        <v>33.666666666666664</v>
      </c>
      <c r="AD17" s="24">
        <f t="shared" si="7"/>
        <v>88.596491228070178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134</v>
      </c>
      <c r="AB18" s="23">
        <f t="shared" si="6"/>
        <v>4</v>
      </c>
      <c r="AC18" s="23">
        <f>IF(AA18=0," ",AA18/AB18)</f>
        <v>33.5</v>
      </c>
      <c r="AD18" s="24">
        <f t="shared" si="7"/>
        <v>88.157894736842096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201</v>
      </c>
      <c r="H20" s="36">
        <f t="shared" si="11"/>
        <v>222</v>
      </c>
      <c r="I20" s="36">
        <f t="shared" si="11"/>
        <v>146</v>
      </c>
      <c r="J20" s="36">
        <f t="shared" si="11"/>
        <v>210</v>
      </c>
      <c r="K20" s="135">
        <f t="shared" si="11"/>
        <v>1314</v>
      </c>
      <c r="L20" s="36">
        <f t="shared" si="11"/>
        <v>42</v>
      </c>
      <c r="M20" s="35">
        <f>K20/L20</f>
        <v>31.285714285714285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1314</v>
      </c>
      <c r="AB20" s="35">
        <f>SUM(AB5:AB19)</f>
        <v>42</v>
      </c>
      <c r="AC20" s="35">
        <f>AA20/AB20</f>
        <v>31.285714285714285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  <mergeCell ref="D3:J3"/>
    <mergeCell ref="P3:V3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Q23" sqref="Q2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313" t="s">
        <v>184</v>
      </c>
      <c r="C3" s="300" t="s">
        <v>0</v>
      </c>
      <c r="D3" s="328" t="s">
        <v>109</v>
      </c>
      <c r="E3" s="303"/>
      <c r="F3" s="303"/>
      <c r="G3" s="303"/>
      <c r="H3" s="303"/>
      <c r="I3" s="303"/>
      <c r="J3" s="303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302" t="s">
        <v>112</v>
      </c>
      <c r="Q3" s="328"/>
      <c r="R3" s="328"/>
      <c r="S3" s="328"/>
      <c r="T3" s="328"/>
      <c r="U3" s="328"/>
      <c r="V3" s="328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291" t="s">
        <v>224</v>
      </c>
    </row>
    <row r="4" spans="2:30" ht="15" thickBot="1">
      <c r="B4" s="329"/>
      <c r="C4" s="325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6"/>
      <c r="L4" s="312"/>
      <c r="M4" s="312"/>
      <c r="N4" s="327"/>
      <c r="O4" s="31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19"/>
      <c r="Y4" s="324"/>
      <c r="Z4" s="8"/>
      <c r="AA4" s="316"/>
      <c r="AB4" s="319"/>
      <c r="AC4" s="319"/>
      <c r="AD4" s="324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>
        <v>46</v>
      </c>
      <c r="H5" s="188">
        <v>26</v>
      </c>
      <c r="I5" s="188">
        <v>69</v>
      </c>
      <c r="J5" s="189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4">
        <f t="shared" ref="N5:N19" si="2">IF(K5=0," ",K5/(L5*C5)*100)</f>
        <v>118.75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190</v>
      </c>
      <c r="AB5" s="14">
        <f t="shared" ref="AB5:AB19" si="6">L5+X5</f>
        <v>4</v>
      </c>
      <c r="AC5" s="14">
        <f>IF(AA5=0," ",AA5/AB5)</f>
        <v>47.5</v>
      </c>
      <c r="AD5" s="104">
        <f t="shared" ref="AD5:AD19" si="7">IF(AA5=0," ",AA5/(AB5*O5)*100)</f>
        <v>118.75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>
        <v>17</v>
      </c>
      <c r="H6" s="191">
        <v>28</v>
      </c>
      <c r="I6" s="191"/>
      <c r="J6" s="192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98</v>
      </c>
      <c r="AB6" s="23">
        <f t="shared" si="6"/>
        <v>4</v>
      </c>
      <c r="AC6" s="23">
        <f>IF(AA6=0," ",AA6/AB6)</f>
        <v>24.5</v>
      </c>
      <c r="AD6" s="24">
        <f t="shared" si="7"/>
        <v>111.36363636363636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>
        <v>27</v>
      </c>
      <c r="H7" s="191">
        <v>26</v>
      </c>
      <c r="I7" s="191">
        <v>16</v>
      </c>
      <c r="J7" s="192">
        <v>25</v>
      </c>
      <c r="K7" s="25">
        <f t="shared" si="0"/>
        <v>158</v>
      </c>
      <c r="L7" s="23">
        <f t="shared" si="1"/>
        <v>7</v>
      </c>
      <c r="M7" s="23">
        <f t="shared" ref="M7:M18" si="8">IF(K7=0," ",K7/L7)</f>
        <v>22.571428571428573</v>
      </c>
      <c r="N7" s="24">
        <f t="shared" si="2"/>
        <v>107.48299319727892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158</v>
      </c>
      <c r="AB7" s="23">
        <f t="shared" si="6"/>
        <v>7</v>
      </c>
      <c r="AC7" s="23">
        <f t="shared" ref="AC7:AC18" si="10">IF(AA7=0," ",AA7/AB7)</f>
        <v>22.571428571428573</v>
      </c>
      <c r="AD7" s="24">
        <f t="shared" si="7"/>
        <v>107.48299319727892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>
        <v>20</v>
      </c>
      <c r="H8" s="191"/>
      <c r="I8" s="191">
        <v>11</v>
      </c>
      <c r="J8" s="192">
        <v>12</v>
      </c>
      <c r="K8" s="25">
        <f t="shared" si="0"/>
        <v>58</v>
      </c>
      <c r="L8" s="23">
        <f t="shared" si="1"/>
        <v>5</v>
      </c>
      <c r="M8" s="23">
        <f t="shared" si="8"/>
        <v>11.6</v>
      </c>
      <c r="N8" s="24">
        <f t="shared" si="2"/>
        <v>68.235294117647058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58</v>
      </c>
      <c r="AB8" s="23">
        <f t="shared" si="6"/>
        <v>5</v>
      </c>
      <c r="AC8" s="23">
        <f t="shared" si="10"/>
        <v>11.6</v>
      </c>
      <c r="AD8" s="24">
        <f t="shared" si="7"/>
        <v>68.235294117647058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>
        <v>56</v>
      </c>
      <c r="H9" s="191"/>
      <c r="I9" s="191"/>
      <c r="J9" s="192"/>
      <c r="K9" s="25">
        <f t="shared" si="0"/>
        <v>195</v>
      </c>
      <c r="L9" s="23">
        <f t="shared" si="1"/>
        <v>3</v>
      </c>
      <c r="M9" s="23">
        <f t="shared" si="8"/>
        <v>65</v>
      </c>
      <c r="N9" s="24">
        <f t="shared" si="2"/>
        <v>73.033707865168537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0"/>
        <v>65</v>
      </c>
      <c r="AD9" s="24">
        <f t="shared" si="7"/>
        <v>73.033707865168537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>
        <v>34</v>
      </c>
      <c r="H11" s="191">
        <v>48</v>
      </c>
      <c r="I11" s="191">
        <v>38</v>
      </c>
      <c r="J11" s="192">
        <v>43</v>
      </c>
      <c r="K11" s="25">
        <f t="shared" si="0"/>
        <v>242</v>
      </c>
      <c r="L11" s="23">
        <f t="shared" si="1"/>
        <v>6</v>
      </c>
      <c r="M11" s="23">
        <f t="shared" si="8"/>
        <v>40.333333333333336</v>
      </c>
      <c r="N11" s="24">
        <f t="shared" si="2"/>
        <v>115.23809523809523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242</v>
      </c>
      <c r="AB11" s="23">
        <f t="shared" si="6"/>
        <v>6</v>
      </c>
      <c r="AC11" s="23">
        <f t="shared" si="10"/>
        <v>40.333333333333336</v>
      </c>
      <c r="AD11" s="24">
        <f t="shared" si="7"/>
        <v>115.23809523809523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>
        <v>13</v>
      </c>
      <c r="K12" s="25">
        <f t="shared" si="0"/>
        <v>45</v>
      </c>
      <c r="L12" s="23">
        <f t="shared" si="1"/>
        <v>2</v>
      </c>
      <c r="M12" s="23">
        <f t="shared" si="8"/>
        <v>22.5</v>
      </c>
      <c r="N12" s="24">
        <f t="shared" si="2"/>
        <v>125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45</v>
      </c>
      <c r="AB12" s="23">
        <f t="shared" si="6"/>
        <v>2</v>
      </c>
      <c r="AC12" s="23">
        <f t="shared" si="10"/>
        <v>22.5</v>
      </c>
      <c r="AD12" s="24">
        <f t="shared" si="7"/>
        <v>125</v>
      </c>
    </row>
    <row r="13" spans="2:30" s="19" customFormat="1" ht="19.95" customHeight="1">
      <c r="B13" s="51" t="s">
        <v>255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>
        <v>28</v>
      </c>
      <c r="J13" s="192"/>
      <c r="K13" s="25">
        <f t="shared" si="0"/>
        <v>105</v>
      </c>
      <c r="L13" s="23">
        <f t="shared" si="1"/>
        <v>4</v>
      </c>
      <c r="M13" s="23">
        <f t="shared" si="8"/>
        <v>26.25</v>
      </c>
      <c r="N13" s="24">
        <f t="shared" si="2"/>
        <v>79.545454545454547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0"/>
        <v>26.25</v>
      </c>
      <c r="AD13" s="24">
        <f t="shared" si="7"/>
        <v>79.545454545454547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>
        <v>33</v>
      </c>
      <c r="I15" s="191"/>
      <c r="J15" s="192"/>
      <c r="K15" s="25">
        <f t="shared" si="0"/>
        <v>76</v>
      </c>
      <c r="L15" s="23">
        <f t="shared" si="1"/>
        <v>4</v>
      </c>
      <c r="M15" s="23">
        <f t="shared" si="8"/>
        <v>19</v>
      </c>
      <c r="N15" s="24">
        <f t="shared" si="2"/>
        <v>65.517241379310349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>
        <v>31</v>
      </c>
      <c r="I16" s="191">
        <v>31</v>
      </c>
      <c r="J16" s="192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</row>
    <row r="17" spans="2:30" s="19" customFormat="1" ht="19.95" customHeight="1">
      <c r="B17" s="51" t="s">
        <v>272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200</v>
      </c>
      <c r="H20" s="36">
        <f t="shared" si="11"/>
        <v>192</v>
      </c>
      <c r="I20" s="36">
        <f t="shared" si="11"/>
        <v>193</v>
      </c>
      <c r="J20" s="36">
        <f t="shared" si="11"/>
        <v>177</v>
      </c>
      <c r="K20" s="135">
        <f t="shared" si="11"/>
        <v>1251</v>
      </c>
      <c r="L20" s="36">
        <f t="shared" si="11"/>
        <v>42</v>
      </c>
      <c r="M20" s="35">
        <f>K20/L20</f>
        <v>29.785714285714285</v>
      </c>
      <c r="N20" s="37"/>
      <c r="O20" s="38">
        <f t="shared" ref="O20:X20" si="12">SUM(O5:O19)</f>
        <v>466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1251</v>
      </c>
      <c r="AB20" s="35">
        <f>SUM(AB5:AB19)</f>
        <v>42</v>
      </c>
      <c r="AC20" s="35">
        <f>AA20/AB20</f>
        <v>29.785714285714285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zoomScale="105" zoomScaleNormal="105" workbookViewId="0">
      <selection activeCell="M30" sqref="M30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298" t="s">
        <v>11</v>
      </c>
      <c r="C3" s="300" t="s">
        <v>0</v>
      </c>
      <c r="D3" s="302" t="s">
        <v>113</v>
      </c>
      <c r="E3" s="303"/>
      <c r="F3" s="303"/>
      <c r="G3" s="303"/>
      <c r="H3" s="303"/>
      <c r="I3" s="303"/>
      <c r="J3" s="303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302" t="s">
        <v>112</v>
      </c>
      <c r="Q3" s="328"/>
      <c r="R3" s="328"/>
      <c r="S3" s="328"/>
      <c r="T3" s="328"/>
      <c r="U3" s="328"/>
      <c r="V3" s="328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330" t="s">
        <v>224</v>
      </c>
    </row>
    <row r="4" spans="2:30" ht="15" thickBot="1">
      <c r="B4" s="299"/>
      <c r="C4" s="325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6"/>
      <c r="L4" s="312"/>
      <c r="M4" s="312"/>
      <c r="N4" s="327"/>
      <c r="O4" s="31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19"/>
      <c r="Y4" s="324"/>
      <c r="Z4" s="8"/>
      <c r="AA4" s="288"/>
      <c r="AB4" s="290"/>
      <c r="AC4" s="290"/>
      <c r="AD4" s="331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>
        <v>6</v>
      </c>
      <c r="H5" s="188"/>
      <c r="I5" s="188"/>
      <c r="J5" s="189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4">
        <f t="shared" ref="N5:N15" si="2">IF(K5=0," ",K5/(L5*C5)*100)</f>
        <v>91.17647058823529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31</v>
      </c>
      <c r="AB5" s="14">
        <f t="shared" ref="AB5:AB15" si="6">L5+X5</f>
        <v>2</v>
      </c>
      <c r="AC5" s="14">
        <f>IF(AA5=0," ",AA5/AB5)</f>
        <v>15.5</v>
      </c>
      <c r="AD5" s="104">
        <f t="shared" ref="AD5:AD15" si="7">IF(AA5=0," ",AA5/(AB5*O5)*100)</f>
        <v>91.17647058823529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>
        <v>36</v>
      </c>
      <c r="H6" s="191">
        <v>51</v>
      </c>
      <c r="I6" s="191">
        <v>38</v>
      </c>
      <c r="J6" s="192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220</v>
      </c>
      <c r="AB6" s="23">
        <f t="shared" si="6"/>
        <v>6</v>
      </c>
      <c r="AC6" s="23">
        <f>IF(AA6=0," ",AA6/AB6)</f>
        <v>36.666666666666664</v>
      </c>
      <c r="AD6" s="24">
        <f t="shared" si="7"/>
        <v>101.85185185185186</v>
      </c>
    </row>
    <row r="7" spans="2:30" s="19" customFormat="1" ht="19.95" customHeight="1">
      <c r="B7" s="51" t="s">
        <v>269</v>
      </c>
      <c r="C7" s="184">
        <v>67</v>
      </c>
      <c r="D7" s="190">
        <v>40</v>
      </c>
      <c r="E7" s="191"/>
      <c r="F7" s="191">
        <v>88</v>
      </c>
      <c r="G7" s="191"/>
      <c r="H7" s="191">
        <v>72</v>
      </c>
      <c r="I7" s="191"/>
      <c r="J7" s="192">
        <v>45</v>
      </c>
      <c r="K7" s="25">
        <f t="shared" si="0"/>
        <v>245</v>
      </c>
      <c r="L7" s="23">
        <f t="shared" si="1"/>
        <v>4</v>
      </c>
      <c r="M7" s="23">
        <f t="shared" ref="M7:M15" si="8">IF(K7=0," ",K7/L7)</f>
        <v>61.25</v>
      </c>
      <c r="N7" s="24">
        <f t="shared" si="2"/>
        <v>91.417910447761201</v>
      </c>
      <c r="O7" s="267">
        <v>61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245</v>
      </c>
      <c r="AB7" s="23">
        <f t="shared" si="6"/>
        <v>4</v>
      </c>
      <c r="AC7" s="23">
        <f t="shared" ref="AC7:AC15" si="10">IF(AA7=0," ",AA7/AB7)</f>
        <v>61.25</v>
      </c>
      <c r="AD7" s="24">
        <f t="shared" si="7"/>
        <v>100.40983606557377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>
        <v>16</v>
      </c>
      <c r="J8" s="192"/>
      <c r="K8" s="25">
        <f t="shared" si="0"/>
        <v>26</v>
      </c>
      <c r="L8" s="23">
        <f t="shared" si="1"/>
        <v>2</v>
      </c>
      <c r="M8" s="23">
        <f t="shared" si="8"/>
        <v>13</v>
      </c>
      <c r="N8" s="24">
        <f t="shared" si="2"/>
        <v>81.25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0"/>
        <v>13</v>
      </c>
      <c r="AD8" s="24">
        <f t="shared" si="7"/>
        <v>81.25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>
        <v>17</v>
      </c>
      <c r="H9" s="191"/>
      <c r="I9" s="191">
        <v>27</v>
      </c>
      <c r="J9" s="192">
        <v>32</v>
      </c>
      <c r="K9" s="25">
        <f t="shared" si="0"/>
        <v>151</v>
      </c>
      <c r="L9" s="23">
        <f t="shared" si="1"/>
        <v>5</v>
      </c>
      <c r="M9" s="23">
        <f t="shared" si="8"/>
        <v>30.2</v>
      </c>
      <c r="N9" s="24">
        <f t="shared" si="2"/>
        <v>104.13793103448276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151</v>
      </c>
      <c r="AB9" s="23">
        <f t="shared" si="6"/>
        <v>5</v>
      </c>
      <c r="AC9" s="23">
        <f t="shared" si="10"/>
        <v>30.2</v>
      </c>
      <c r="AD9" s="24">
        <f t="shared" si="7"/>
        <v>104.13793103448276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>
        <v>20</v>
      </c>
      <c r="I10" s="191"/>
      <c r="J10" s="192"/>
      <c r="K10" s="25">
        <f t="shared" si="0"/>
        <v>20</v>
      </c>
      <c r="L10" s="23">
        <f t="shared" si="1"/>
        <v>1</v>
      </c>
      <c r="M10" s="23">
        <f t="shared" si="8"/>
        <v>20</v>
      </c>
      <c r="N10" s="24">
        <f t="shared" si="2"/>
        <v>71.428571428571431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0"/>
        <v>20</v>
      </c>
      <c r="AD10" s="24">
        <f t="shared" si="7"/>
        <v>71.428571428571431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>
        <v>24</v>
      </c>
      <c r="H12" s="191">
        <v>49</v>
      </c>
      <c r="I12" s="191">
        <v>29</v>
      </c>
      <c r="J12" s="192"/>
      <c r="K12" s="25">
        <f t="shared" si="0"/>
        <v>161</v>
      </c>
      <c r="L12" s="23">
        <f t="shared" si="1"/>
        <v>5</v>
      </c>
      <c r="M12" s="23">
        <f t="shared" si="8"/>
        <v>32.200000000000003</v>
      </c>
      <c r="N12" s="24">
        <f t="shared" si="2"/>
        <v>107.33333333333333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0"/>
        <v>32.200000000000003</v>
      </c>
      <c r="AD12" s="24">
        <f t="shared" si="7"/>
        <v>107.33333333333333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>
        <v>54</v>
      </c>
      <c r="H13" s="191"/>
      <c r="I13" s="191">
        <v>52</v>
      </c>
      <c r="J13" s="192">
        <v>43</v>
      </c>
      <c r="K13" s="25">
        <f t="shared" si="0"/>
        <v>186</v>
      </c>
      <c r="L13" s="23">
        <f t="shared" si="1"/>
        <v>4</v>
      </c>
      <c r="M13" s="23">
        <f t="shared" si="8"/>
        <v>46.5</v>
      </c>
      <c r="N13" s="24">
        <f t="shared" si="2"/>
        <v>122.36842105263158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186</v>
      </c>
      <c r="AB13" s="23">
        <f t="shared" si="6"/>
        <v>4</v>
      </c>
      <c r="AC13" s="23">
        <f t="shared" si="10"/>
        <v>46.5</v>
      </c>
      <c r="AD13" s="24">
        <f t="shared" si="7"/>
        <v>122.36842105263158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>
        <v>40</v>
      </c>
      <c r="H14" s="191">
        <v>86</v>
      </c>
      <c r="I14" s="191"/>
      <c r="J14" s="192">
        <v>87</v>
      </c>
      <c r="K14" s="25">
        <f t="shared" si="0"/>
        <v>434</v>
      </c>
      <c r="L14" s="23">
        <f t="shared" si="1"/>
        <v>6</v>
      </c>
      <c r="M14" s="23">
        <f t="shared" si="8"/>
        <v>72.333333333333329</v>
      </c>
      <c r="N14" s="24">
        <f t="shared" si="2"/>
        <v>83.141762452107287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434</v>
      </c>
      <c r="AB14" s="23">
        <f t="shared" si="6"/>
        <v>6</v>
      </c>
      <c r="AC14" s="23">
        <f t="shared" si="10"/>
        <v>72.333333333333329</v>
      </c>
      <c r="AD14" s="24">
        <f t="shared" si="7"/>
        <v>83.141762452107287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>
        <v>36</v>
      </c>
      <c r="I15" s="191">
        <v>25</v>
      </c>
      <c r="J15" s="192"/>
      <c r="K15" s="25">
        <f t="shared" si="0"/>
        <v>91</v>
      </c>
      <c r="L15" s="23">
        <f t="shared" si="1"/>
        <v>3</v>
      </c>
      <c r="M15" s="23">
        <f t="shared" si="8"/>
        <v>30.333333333333332</v>
      </c>
      <c r="N15" s="24">
        <f t="shared" si="2"/>
        <v>97.849462365591393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0"/>
        <v>30.333333333333332</v>
      </c>
      <c r="AD15" s="24">
        <f t="shared" si="7"/>
        <v>97.849462365591393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49</v>
      </c>
      <c r="AB16" s="23">
        <f t="shared" si="11"/>
        <v>2</v>
      </c>
      <c r="AC16" s="23">
        <f>IF(AA16=0," ",AA16/AB16)</f>
        <v>24.5</v>
      </c>
      <c r="AD16" s="24">
        <f>IF(AA16=0," ",AA16/(AB16*O16)*100)</f>
        <v>116.66666666666667</v>
      </c>
    </row>
    <row r="17" spans="2:30" s="19" customFormat="1" ht="19.95" customHeight="1">
      <c r="B17" s="51" t="s">
        <v>234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 t="s">
        <v>273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84">
        <v>35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444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177</v>
      </c>
      <c r="H20" s="36">
        <f t="shared" si="12"/>
        <v>314</v>
      </c>
      <c r="I20" s="36">
        <f t="shared" si="12"/>
        <v>187</v>
      </c>
      <c r="J20" s="36">
        <f t="shared" si="12"/>
        <v>252</v>
      </c>
      <c r="K20" s="135">
        <f t="shared" si="12"/>
        <v>1640</v>
      </c>
      <c r="L20" s="36">
        <f t="shared" si="12"/>
        <v>42</v>
      </c>
      <c r="M20" s="35">
        <f>K20/L20</f>
        <v>39.047619047619051</v>
      </c>
      <c r="N20" s="37"/>
      <c r="O20" s="38">
        <f t="shared" ref="O20:X20" si="13">SUM(O5:O19)</f>
        <v>473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1640</v>
      </c>
      <c r="AB20" s="35">
        <f>SUM(AB5:AB19)</f>
        <v>42</v>
      </c>
      <c r="AC20" s="35">
        <f>AA20/AB20</f>
        <v>39.047619047619051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topLeftCell="A2" zoomScale="105" zoomScaleNormal="105" workbookViewId="0">
      <selection activeCell="B10" sqref="B10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5"/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0" ht="121.5" customHeight="1" thickBot="1">
      <c r="B3" s="298" t="s">
        <v>159</v>
      </c>
      <c r="C3" s="300" t="s">
        <v>0</v>
      </c>
      <c r="D3" s="293" t="s">
        <v>109</v>
      </c>
      <c r="E3" s="294"/>
      <c r="F3" s="294"/>
      <c r="G3" s="294"/>
      <c r="H3" s="294"/>
      <c r="I3" s="294"/>
      <c r="J3" s="294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293" t="s">
        <v>110</v>
      </c>
      <c r="Q3" s="294"/>
      <c r="R3" s="294"/>
      <c r="S3" s="294"/>
      <c r="T3" s="294"/>
      <c r="U3" s="294"/>
      <c r="V3" s="294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291" t="s">
        <v>224</v>
      </c>
    </row>
    <row r="4" spans="2:30" ht="15.75" customHeight="1" thickBot="1">
      <c r="B4" s="299"/>
      <c r="C4" s="325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5"/>
      <c r="L4" s="307"/>
      <c r="M4" s="307"/>
      <c r="N4" s="309"/>
      <c r="O4" s="311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288"/>
      <c r="X4" s="290"/>
      <c r="Y4" s="292"/>
      <c r="Z4" s="8"/>
      <c r="AA4" s="316"/>
      <c r="AB4" s="319"/>
      <c r="AC4" s="319"/>
      <c r="AD4" s="324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>
        <v>13</v>
      </c>
      <c r="H5" s="188"/>
      <c r="I5" s="188"/>
      <c r="J5" s="189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4">
        <f t="shared" ref="N5:N14" si="2">IF(K5=0," ",K5/(L5*C5)*100)</f>
        <v>70.108695652173907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129</v>
      </c>
      <c r="AB5" s="14">
        <f t="shared" ref="AB5:AB14" si="6">L5+X5</f>
        <v>4</v>
      </c>
      <c r="AC5" s="14">
        <f>IF(AA5=0," ",AA5/AB5)</f>
        <v>32.25</v>
      </c>
      <c r="AD5" s="104">
        <f t="shared" ref="AD5:AD14" si="7">IF(AA5=0," ",AA5/(AB5*O5)*100)</f>
        <v>70.108695652173907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>
        <v>58</v>
      </c>
      <c r="H6" s="191">
        <v>32</v>
      </c>
      <c r="I6" s="191"/>
      <c r="J6" s="192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176</v>
      </c>
      <c r="AB6" s="23">
        <f t="shared" si="6"/>
        <v>5</v>
      </c>
      <c r="AC6" s="23">
        <f>IF(AA6=0," ",AA6/AB6)</f>
        <v>35.200000000000003</v>
      </c>
      <c r="AD6" s="24">
        <f t="shared" si="7"/>
        <v>121.37931034482759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>
        <v>32</v>
      </c>
      <c r="H7" s="191">
        <v>30</v>
      </c>
      <c r="I7" s="191"/>
      <c r="J7" s="192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0">IF(AA7=0," ",AA7/AB7)</f>
        <v>33.75</v>
      </c>
      <c r="AD7" s="24">
        <f t="shared" si="7"/>
        <v>91.21621621621621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>
        <v>52</v>
      </c>
      <c r="H8" s="191">
        <v>30</v>
      </c>
      <c r="I8" s="191">
        <v>35</v>
      </c>
      <c r="J8" s="192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285</v>
      </c>
      <c r="AB8" s="23">
        <f t="shared" si="6"/>
        <v>6</v>
      </c>
      <c r="AC8" s="23">
        <f t="shared" si="10"/>
        <v>47.5</v>
      </c>
      <c r="AD8" s="24">
        <f t="shared" si="7"/>
        <v>103.26086956521738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>
        <v>15</v>
      </c>
      <c r="I9" s="191">
        <v>15</v>
      </c>
      <c r="J9" s="192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0"/>
        <v>23</v>
      </c>
      <c r="AD9" s="24">
        <f t="shared" si="7"/>
        <v>85.18518518518519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244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264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>
        <v>24</v>
      </c>
      <c r="I12" s="191">
        <v>30</v>
      </c>
      <c r="J12" s="192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67">
        <v>42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208</v>
      </c>
      <c r="AB12" s="23">
        <f t="shared" si="6"/>
        <v>5</v>
      </c>
      <c r="AC12" s="23">
        <f t="shared" si="10"/>
        <v>41.6</v>
      </c>
      <c r="AD12" s="24">
        <f t="shared" si="7"/>
        <v>99.047619047619051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>
        <v>68</v>
      </c>
      <c r="J13" s="192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0"/>
        <v>87.5</v>
      </c>
      <c r="AD13" s="24">
        <f t="shared" si="7"/>
        <v>81.775700934579447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>
        <v>32</v>
      </c>
      <c r="J14" s="192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122</v>
      </c>
      <c r="AB14" s="23">
        <f t="shared" si="6"/>
        <v>3</v>
      </c>
      <c r="AC14" s="23">
        <f t="shared" si="10"/>
        <v>40.666666666666664</v>
      </c>
      <c r="AD14" s="24">
        <f t="shared" si="7"/>
        <v>96.825396825396822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>
        <v>37</v>
      </c>
      <c r="H15" s="191"/>
      <c r="I15" s="191">
        <v>38</v>
      </c>
      <c r="J15" s="192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116</v>
      </c>
      <c r="AB15" s="23">
        <f t="shared" si="11"/>
        <v>3</v>
      </c>
      <c r="AC15" s="23">
        <f>IF(AA15=0," ",AA15/AB15)</f>
        <v>38.666666666666664</v>
      </c>
      <c r="AD15" s="24">
        <f>IF(AA15=0," ",AA15/(AB15*O15)*100)</f>
        <v>138.0952380952381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>
        <v>47</v>
      </c>
      <c r="H16" s="191">
        <v>35</v>
      </c>
      <c r="I16" s="191"/>
      <c r="J16" s="192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201</v>
      </c>
      <c r="AB16" s="23">
        <f t="shared" si="11"/>
        <v>5</v>
      </c>
      <c r="AC16" s="23">
        <f>IF(AA16=0," ",AA16/AB16)</f>
        <v>40.200000000000003</v>
      </c>
      <c r="AD16" s="24">
        <f>IF(AA16=0," ",AA16/(AB16*O16)*100)</f>
        <v>85.531914893617028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239</v>
      </c>
      <c r="H20" s="36">
        <f t="shared" si="12"/>
        <v>166</v>
      </c>
      <c r="I20" s="36">
        <f t="shared" si="12"/>
        <v>218</v>
      </c>
      <c r="J20" s="36">
        <f t="shared" si="12"/>
        <v>242</v>
      </c>
      <c r="K20" s="135">
        <f t="shared" si="12"/>
        <v>1692</v>
      </c>
      <c r="L20" s="36">
        <f t="shared" si="12"/>
        <v>42</v>
      </c>
      <c r="M20" s="35">
        <f>K20/L20</f>
        <v>40.285714285714285</v>
      </c>
      <c r="N20" s="37"/>
      <c r="O20" s="38">
        <f t="shared" ref="O20:X20" si="13">SUM(O5:O19)</f>
        <v>506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1692</v>
      </c>
      <c r="AB20" s="35">
        <f>SUM(AB5:AB19)</f>
        <v>42</v>
      </c>
      <c r="AC20" s="35">
        <f>AA20/AB20</f>
        <v>40.285714285714285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P3:V3"/>
    <mergeCell ref="AA3:AA4"/>
    <mergeCell ref="AB3:AB4"/>
    <mergeCell ref="AC3:AC4"/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B16" sqref="B16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95" t="s">
        <v>223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  <c r="Y2" s="296"/>
      <c r="Z2" s="1"/>
      <c r="AA2" s="296" t="s">
        <v>7</v>
      </c>
      <c r="AB2" s="296"/>
      <c r="AC2" s="296"/>
      <c r="AD2" s="297"/>
    </row>
    <row r="3" spans="2:36" ht="121.5" customHeight="1" thickBot="1">
      <c r="B3" s="313" t="s">
        <v>198</v>
      </c>
      <c r="C3" s="300" t="s">
        <v>0</v>
      </c>
      <c r="D3" s="302" t="s">
        <v>109</v>
      </c>
      <c r="E3" s="303"/>
      <c r="F3" s="303"/>
      <c r="G3" s="303"/>
      <c r="H3" s="303"/>
      <c r="I3" s="303"/>
      <c r="J3" s="303"/>
      <c r="K3" s="304" t="s">
        <v>1</v>
      </c>
      <c r="L3" s="306" t="s">
        <v>2</v>
      </c>
      <c r="M3" s="306" t="s">
        <v>3</v>
      </c>
      <c r="N3" s="308" t="s">
        <v>224</v>
      </c>
      <c r="O3" s="310" t="s">
        <v>4</v>
      </c>
      <c r="P3" s="302" t="s">
        <v>115</v>
      </c>
      <c r="Q3" s="328"/>
      <c r="R3" s="328"/>
      <c r="S3" s="328"/>
      <c r="T3" s="328"/>
      <c r="U3" s="328"/>
      <c r="V3" s="328"/>
      <c r="W3" s="287" t="s">
        <v>1</v>
      </c>
      <c r="X3" s="289" t="s">
        <v>2</v>
      </c>
      <c r="Y3" s="291" t="s">
        <v>5</v>
      </c>
      <c r="Z3" s="7"/>
      <c r="AA3" s="287" t="s">
        <v>1</v>
      </c>
      <c r="AB3" s="289" t="s">
        <v>2</v>
      </c>
      <c r="AC3" s="289" t="s">
        <v>6</v>
      </c>
      <c r="AD3" s="291" t="s">
        <v>224</v>
      </c>
    </row>
    <row r="4" spans="2:36" ht="15" thickBot="1">
      <c r="B4" s="329"/>
      <c r="C4" s="325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05"/>
      <c r="L4" s="307"/>
      <c r="M4" s="307"/>
      <c r="N4" s="309"/>
      <c r="O4" s="31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19"/>
      <c r="Y4" s="324"/>
      <c r="Z4" s="8"/>
      <c r="AA4" s="316"/>
      <c r="AB4" s="319"/>
      <c r="AC4" s="319"/>
      <c r="AD4" s="324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>
        <v>19</v>
      </c>
      <c r="H5" s="188"/>
      <c r="I5" s="188">
        <v>28</v>
      </c>
      <c r="J5" s="189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4">
        <f t="shared" ref="N5:N19" si="2">IF(K5=0," ",K5/(L5*C5)*100)</f>
        <v>99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99</v>
      </c>
      <c r="AB5" s="14">
        <f t="shared" ref="AB5:AB19" si="6">L5+X5</f>
        <v>4</v>
      </c>
      <c r="AC5" s="14">
        <f>IF(AA5=0," ",AA5/AB5)</f>
        <v>24.75</v>
      </c>
      <c r="AD5" s="104">
        <f t="shared" ref="AD5:AD17" si="7">IF(AA5=0," ",AA5/(AB5*O5)*100)</f>
        <v>99</v>
      </c>
    </row>
    <row r="6" spans="2:36" s="19" customFormat="1" ht="19.95" customHeight="1">
      <c r="B6" s="51" t="s">
        <v>254</v>
      </c>
      <c r="C6" s="88">
        <v>18</v>
      </c>
      <c r="D6" s="190">
        <v>18</v>
      </c>
      <c r="E6" s="191">
        <v>11</v>
      </c>
      <c r="F6" s="191"/>
      <c r="G6" s="191"/>
      <c r="H6" s="191">
        <v>16</v>
      </c>
      <c r="I6" s="191"/>
      <c r="J6" s="192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>
        <v>23</v>
      </c>
      <c r="H7" s="191"/>
      <c r="I7" s="191">
        <v>25</v>
      </c>
      <c r="J7" s="192">
        <v>22</v>
      </c>
      <c r="K7" s="25">
        <f t="shared" si="0"/>
        <v>148</v>
      </c>
      <c r="L7" s="23">
        <f t="shared" si="1"/>
        <v>5</v>
      </c>
      <c r="M7" s="23">
        <f t="shared" ref="M7:M17" si="8">IF(K7=0," ",K7/L7)</f>
        <v>29.6</v>
      </c>
      <c r="N7" s="24">
        <f t="shared" si="2"/>
        <v>123.33333333333334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148</v>
      </c>
      <c r="AB7" s="23">
        <f t="shared" si="6"/>
        <v>5</v>
      </c>
      <c r="AC7" s="23">
        <f t="shared" ref="AC7:AC17" si="10">IF(AA7=0," ",AA7/AB7)</f>
        <v>29.6</v>
      </c>
      <c r="AD7" s="24">
        <f t="shared" si="7"/>
        <v>123.33333333333334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>
        <v>28</v>
      </c>
      <c r="I8" s="191"/>
      <c r="J8" s="192">
        <v>35</v>
      </c>
      <c r="K8" s="25">
        <f t="shared" si="0"/>
        <v>126</v>
      </c>
      <c r="L8" s="23">
        <f t="shared" si="1"/>
        <v>4</v>
      </c>
      <c r="M8" s="23">
        <f t="shared" si="8"/>
        <v>31.5</v>
      </c>
      <c r="N8" s="24">
        <f t="shared" si="2"/>
        <v>76.829268292682926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126</v>
      </c>
      <c r="AB8" s="23">
        <f t="shared" si="6"/>
        <v>4</v>
      </c>
      <c r="AC8" s="23">
        <f t="shared" si="10"/>
        <v>31.5</v>
      </c>
      <c r="AD8" s="24">
        <f t="shared" si="7"/>
        <v>76.829268292682926</v>
      </c>
    </row>
    <row r="9" spans="2:36" s="19" customFormat="1" ht="19.95" customHeight="1">
      <c r="B9" s="51" t="s">
        <v>267</v>
      </c>
      <c r="C9" s="184">
        <v>26</v>
      </c>
      <c r="D9" s="190"/>
      <c r="E9" s="191"/>
      <c r="F9" s="191">
        <v>25</v>
      </c>
      <c r="G9" s="191">
        <v>25</v>
      </c>
      <c r="H9" s="191">
        <v>29</v>
      </c>
      <c r="I9" s="191">
        <v>34</v>
      </c>
      <c r="J9" s="192"/>
      <c r="K9" s="25">
        <f t="shared" si="0"/>
        <v>113</v>
      </c>
      <c r="L9" s="23">
        <f t="shared" si="1"/>
        <v>4</v>
      </c>
      <c r="M9" s="23">
        <f t="shared" si="8"/>
        <v>28.25</v>
      </c>
      <c r="N9" s="24">
        <f t="shared" si="2"/>
        <v>108.65384615384615</v>
      </c>
      <c r="O9" s="267">
        <v>28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113</v>
      </c>
      <c r="AB9" s="23">
        <f t="shared" si="6"/>
        <v>4</v>
      </c>
      <c r="AC9" s="23">
        <f t="shared" si="10"/>
        <v>28.25</v>
      </c>
      <c r="AD9" s="24">
        <f t="shared" si="7"/>
        <v>100.89285714285714</v>
      </c>
    </row>
    <row r="10" spans="2:36" s="19" customFormat="1" ht="19.95" customHeight="1">
      <c r="B10" s="51" t="s">
        <v>268</v>
      </c>
      <c r="C10" s="184">
        <v>24</v>
      </c>
      <c r="D10" s="190">
        <v>26</v>
      </c>
      <c r="E10" s="191">
        <v>15</v>
      </c>
      <c r="F10" s="191"/>
      <c r="G10" s="191"/>
      <c r="H10" s="191">
        <v>30</v>
      </c>
      <c r="I10" s="191"/>
      <c r="J10" s="192"/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98.611111111111114</v>
      </c>
      <c r="O10" s="267">
        <v>24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>
        <v>35</v>
      </c>
      <c r="H11" s="191"/>
      <c r="I11" s="191"/>
      <c r="J11" s="192"/>
      <c r="K11" s="25">
        <f t="shared" si="0"/>
        <v>87</v>
      </c>
      <c r="L11" s="23">
        <f t="shared" si="1"/>
        <v>4</v>
      </c>
      <c r="M11" s="23">
        <f t="shared" si="8"/>
        <v>21.75</v>
      </c>
      <c r="N11" s="24">
        <f t="shared" si="2"/>
        <v>43.5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0"/>
        <v>21.75</v>
      </c>
      <c r="AD11" s="24">
        <f t="shared" si="7"/>
        <v>43.5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>
        <v>27</v>
      </c>
      <c r="H12" s="191"/>
      <c r="I12" s="191"/>
      <c r="J12" s="192">
        <v>40</v>
      </c>
      <c r="K12" s="25">
        <f t="shared" si="0"/>
        <v>110</v>
      </c>
      <c r="L12" s="23">
        <f t="shared" si="1"/>
        <v>3</v>
      </c>
      <c r="M12" s="23">
        <f t="shared" si="8"/>
        <v>36.666666666666664</v>
      </c>
      <c r="N12" s="24">
        <f t="shared" si="2"/>
        <v>94.01709401709401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3</v>
      </c>
      <c r="AC12" s="23">
        <f t="shared" si="10"/>
        <v>36.666666666666664</v>
      </c>
      <c r="AD12" s="24">
        <f t="shared" si="7"/>
        <v>94.01709401709401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>
        <v>29</v>
      </c>
      <c r="I13" s="191">
        <v>24</v>
      </c>
      <c r="J13" s="192"/>
      <c r="K13" s="25">
        <f t="shared" si="0"/>
        <v>98</v>
      </c>
      <c r="L13" s="23">
        <f t="shared" si="1"/>
        <v>4</v>
      </c>
      <c r="M13" s="23">
        <f t="shared" si="8"/>
        <v>24.5</v>
      </c>
      <c r="N13" s="24">
        <f t="shared" si="2"/>
        <v>87.5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98</v>
      </c>
      <c r="AB13" s="23">
        <f t="shared" si="6"/>
        <v>4</v>
      </c>
      <c r="AC13" s="23">
        <f t="shared" si="10"/>
        <v>24.5</v>
      </c>
      <c r="AD13" s="24">
        <f t="shared" si="7"/>
        <v>87.5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>
        <v>21</v>
      </c>
      <c r="I14" s="191">
        <v>22</v>
      </c>
      <c r="J14" s="192">
        <v>19</v>
      </c>
      <c r="K14" s="25">
        <f t="shared" si="0"/>
        <v>62</v>
      </c>
      <c r="L14" s="23">
        <f t="shared" si="1"/>
        <v>3</v>
      </c>
      <c r="M14" s="23">
        <f t="shared" si="8"/>
        <v>20.666666666666668</v>
      </c>
      <c r="N14" s="24">
        <f t="shared" si="2"/>
        <v>98.412698412698404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62</v>
      </c>
      <c r="AB14" s="23">
        <f t="shared" si="6"/>
        <v>3</v>
      </c>
      <c r="AC14" s="23">
        <f t="shared" si="10"/>
        <v>20.666666666666668</v>
      </c>
      <c r="AD14" s="24">
        <f t="shared" si="7"/>
        <v>98.412698412698404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>
        <v>28</v>
      </c>
      <c r="H15" s="191"/>
      <c r="I15" s="191">
        <v>15</v>
      </c>
      <c r="J15" s="192">
        <v>17</v>
      </c>
      <c r="K15" s="25">
        <f t="shared" si="0"/>
        <v>73</v>
      </c>
      <c r="L15" s="23">
        <f t="shared" si="1"/>
        <v>4</v>
      </c>
      <c r="M15" s="23">
        <f t="shared" si="8"/>
        <v>18.25</v>
      </c>
      <c r="N15" s="24">
        <f t="shared" si="2"/>
        <v>82.954545454545453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73</v>
      </c>
      <c r="AB15" s="23">
        <f t="shared" si="6"/>
        <v>4</v>
      </c>
      <c r="AC15" s="23">
        <f t="shared" si="10"/>
        <v>18.25</v>
      </c>
      <c r="AD15" s="24">
        <f t="shared" si="7"/>
        <v>82.954545454545453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318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157</v>
      </c>
      <c r="H20" s="36">
        <f t="shared" si="11"/>
        <v>153</v>
      </c>
      <c r="I20" s="36">
        <f t="shared" si="11"/>
        <v>148</v>
      </c>
      <c r="J20" s="36">
        <f t="shared" si="11"/>
        <v>156</v>
      </c>
      <c r="K20" s="135">
        <f t="shared" si="11"/>
        <v>1055</v>
      </c>
      <c r="L20" s="36">
        <f t="shared" si="11"/>
        <v>42</v>
      </c>
      <c r="M20" s="35">
        <f>K20/L20</f>
        <v>25.11904761904762</v>
      </c>
      <c r="N20" s="37"/>
      <c r="O20" s="38">
        <f t="shared" ref="O20:X20" si="12">SUM(O5:O19)</f>
        <v>320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1055</v>
      </c>
      <c r="AB20" s="35">
        <f>SUM(AB5:AB19)</f>
        <v>42</v>
      </c>
      <c r="AC20" s="35">
        <f>AA20/AB20</f>
        <v>25.11904761904762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mergeCells count="18"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  <mergeCell ref="W3:W4"/>
    <mergeCell ref="X3:X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zoomScaleNormal="100" workbookViewId="0">
      <selection activeCell="H44" sqref="H44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5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55" t="str">
        <f>Nispen!B13</f>
        <v>Van Turnhout Herman [NS 20]</v>
      </c>
      <c r="I12" s="339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55" t="str">
        <f>Kerkuilen!B17</f>
        <v>Van Ginneken Cyriel [NS 20]</v>
      </c>
      <c r="F16" s="339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55" t="str">
        <f>Kerkuilen!B18</f>
        <v>Van Oers Danny [NS 50]</v>
      </c>
      <c r="F17" s="339">
        <f>Kerkuilen!O18</f>
        <v>31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593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55" t="str">
        <f>Wildert1!B7</f>
        <v>Buijk Jan [NS 55]</v>
      </c>
      <c r="I24" s="339">
        <f>Wildert1!O7</f>
        <v>61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  <c r="M31" s="338"/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222" t="str">
        <f>Putte!B17</f>
        <v>Moerbeek Wilfried (ns)</v>
      </c>
      <c r="F34" s="185">
        <f>Putte!O17</f>
        <v>20</v>
      </c>
      <c r="G34" s="76"/>
      <c r="H34" s="222" t="str">
        <f>Wildert1!B18</f>
        <v>Seymus Eddy (ns)</v>
      </c>
      <c r="I34" s="185">
        <f>Wildert1!O18</f>
        <v>35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466</v>
      </c>
      <c r="H37" s="167"/>
      <c r="I37" s="166">
        <f>SUM(I22:I36)</f>
        <v>452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55" t="str">
        <f>DeSpil!B9</f>
        <v>Kerstens Ad [NS 31]</v>
      </c>
      <c r="F44" s="339">
        <f>DeSpil!O9</f>
        <v>28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55" t="str">
        <f>DeSpil!B10</f>
        <v>Meijers Jan [NS 23]</v>
      </c>
      <c r="F45" s="339">
        <f>DeSpil!O10</f>
        <v>24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55" t="str">
        <f>Wildert2!B12</f>
        <v>Scholtis Vic [NS 49]</v>
      </c>
      <c r="C47" s="339">
        <f>Wildert2!O12</f>
        <v>42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506</v>
      </c>
      <c r="E55" s="121"/>
      <c r="F55" s="166">
        <f>SUM(F40:F54)</f>
        <v>320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32" t="s">
        <v>241</v>
      </c>
      <c r="D2" s="332"/>
      <c r="E2" s="332"/>
      <c r="F2" s="332"/>
      <c r="G2" s="332"/>
      <c r="H2" s="332"/>
      <c r="I2" s="332"/>
    </row>
    <row r="3" spans="1:11" s="74" customFormat="1" ht="20.100000000000001" customHeight="1">
      <c r="C3" s="333" t="s">
        <v>57</v>
      </c>
      <c r="D3" s="333"/>
      <c r="E3" s="333"/>
      <c r="F3" s="333"/>
      <c r="G3" s="333"/>
      <c r="H3" s="333"/>
      <c r="I3" s="333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235</v>
      </c>
      <c r="D8" s="198" t="s">
        <v>12</v>
      </c>
      <c r="E8" s="198" t="s">
        <v>236</v>
      </c>
      <c r="F8" s="199">
        <v>2910</v>
      </c>
      <c r="G8" s="199" t="s">
        <v>60</v>
      </c>
      <c r="H8" s="200"/>
      <c r="I8" s="198" t="s">
        <v>237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235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253</v>
      </c>
      <c r="J11" s="207" t="s">
        <v>238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240</v>
      </c>
      <c r="C14" s="210" t="s">
        <v>235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235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239</v>
      </c>
      <c r="C20" s="210" t="s">
        <v>235</v>
      </c>
      <c r="D20" s="198" t="s">
        <v>92</v>
      </c>
      <c r="E20" s="198" t="s">
        <v>251</v>
      </c>
      <c r="F20" s="199">
        <v>2950</v>
      </c>
      <c r="G20" s="199" t="s">
        <v>252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235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235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235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233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256</v>
      </c>
      <c r="I34" s="75" t="s">
        <v>257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95" t="s">
        <v>132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334"/>
      <c r="R1" s="334"/>
      <c r="S1" s="334"/>
      <c r="T1" s="334"/>
      <c r="U1" s="334"/>
      <c r="V1" s="334"/>
      <c r="W1" s="334"/>
      <c r="X1" s="334"/>
      <c r="Y1" s="334"/>
      <c r="Z1" s="296"/>
      <c r="AA1" s="296"/>
      <c r="AB1" s="296"/>
      <c r="AC1" s="1"/>
      <c r="AD1" s="296" t="s">
        <v>7</v>
      </c>
      <c r="AE1" s="296"/>
      <c r="AF1" s="296"/>
      <c r="AG1" s="297"/>
    </row>
    <row r="2" spans="1:33" ht="112.2" customHeight="1" thickBot="1">
      <c r="A2" s="298" t="s">
        <v>140</v>
      </c>
      <c r="B2" s="335" t="s">
        <v>0</v>
      </c>
      <c r="C2" s="293" t="s">
        <v>133</v>
      </c>
      <c r="D2" s="315"/>
      <c r="E2" s="315"/>
      <c r="F2" s="315"/>
      <c r="G2" s="315"/>
      <c r="H2" s="315"/>
      <c r="I2" s="315"/>
      <c r="J2" s="315"/>
      <c r="K2" s="148"/>
      <c r="L2" s="304" t="s">
        <v>1</v>
      </c>
      <c r="M2" s="306" t="s">
        <v>2</v>
      </c>
      <c r="N2" s="306" t="s">
        <v>3</v>
      </c>
      <c r="O2" s="308" t="s">
        <v>128</v>
      </c>
      <c r="P2" s="337" t="s">
        <v>4</v>
      </c>
      <c r="Q2" s="293" t="s">
        <v>134</v>
      </c>
      <c r="R2" s="294"/>
      <c r="S2" s="294"/>
      <c r="T2" s="294"/>
      <c r="U2" s="294"/>
      <c r="V2" s="294"/>
      <c r="W2" s="294"/>
      <c r="X2" s="294"/>
      <c r="Y2" s="147"/>
      <c r="Z2" s="287" t="s">
        <v>1</v>
      </c>
      <c r="AA2" s="289" t="s">
        <v>2</v>
      </c>
      <c r="AB2" s="291" t="s">
        <v>5</v>
      </c>
      <c r="AC2" s="7"/>
      <c r="AD2" s="287" t="s">
        <v>1</v>
      </c>
      <c r="AE2" s="289" t="s">
        <v>2</v>
      </c>
      <c r="AF2" s="289" t="s">
        <v>6</v>
      </c>
      <c r="AG2" s="291" t="s">
        <v>128</v>
      </c>
    </row>
    <row r="3" spans="1:33" ht="15" thickBot="1">
      <c r="A3" s="299"/>
      <c r="B3" s="336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26"/>
      <c r="M3" s="312"/>
      <c r="N3" s="312"/>
      <c r="O3" s="327"/>
      <c r="P3" s="311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16"/>
      <c r="AA3" s="319"/>
      <c r="AB3" s="324"/>
      <c r="AC3" s="8"/>
      <c r="AD3" s="316"/>
      <c r="AE3" s="319"/>
      <c r="AF3" s="319"/>
      <c r="AG3" s="324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  <mergeCell ref="Z2:Z3"/>
    <mergeCell ref="AA2:AA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5" t="s">
        <v>127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6"/>
      <c r="T1" s="296"/>
      <c r="U1" s="296"/>
      <c r="V1" s="296"/>
      <c r="W1" s="296"/>
      <c r="X1" s="296"/>
      <c r="Y1" s="1"/>
      <c r="Z1" s="296" t="s">
        <v>7</v>
      </c>
      <c r="AA1" s="296"/>
      <c r="AB1" s="296"/>
      <c r="AC1" s="297"/>
    </row>
    <row r="2" spans="1:29" ht="121.5" customHeight="1" thickBot="1">
      <c r="A2" s="313" t="s">
        <v>93</v>
      </c>
      <c r="B2" s="300" t="s">
        <v>0</v>
      </c>
      <c r="C2" s="302" t="s">
        <v>8</v>
      </c>
      <c r="D2" s="303"/>
      <c r="E2" s="303"/>
      <c r="F2" s="303"/>
      <c r="G2" s="303"/>
      <c r="H2" s="303"/>
      <c r="I2" s="303"/>
      <c r="J2" s="304" t="s">
        <v>1</v>
      </c>
      <c r="K2" s="306" t="s">
        <v>2</v>
      </c>
      <c r="L2" s="306" t="s">
        <v>3</v>
      </c>
      <c r="M2" s="308" t="s">
        <v>128</v>
      </c>
      <c r="N2" s="310" t="s">
        <v>4</v>
      </c>
      <c r="O2" s="302" t="s">
        <v>9</v>
      </c>
      <c r="P2" s="328"/>
      <c r="Q2" s="328"/>
      <c r="R2" s="328"/>
      <c r="S2" s="328"/>
      <c r="T2" s="328"/>
      <c r="U2" s="328"/>
      <c r="V2" s="287" t="s">
        <v>1</v>
      </c>
      <c r="W2" s="289" t="s">
        <v>2</v>
      </c>
      <c r="X2" s="291" t="s">
        <v>5</v>
      </c>
      <c r="Y2" s="7"/>
      <c r="Z2" s="287" t="s">
        <v>1</v>
      </c>
      <c r="AA2" s="289" t="s">
        <v>2</v>
      </c>
      <c r="AB2" s="289" t="s">
        <v>6</v>
      </c>
      <c r="AC2" s="291" t="s">
        <v>130</v>
      </c>
    </row>
    <row r="3" spans="1:29" ht="15" thickBot="1">
      <c r="A3" s="329"/>
      <c r="B3" s="32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6"/>
      <c r="K3" s="312"/>
      <c r="L3" s="312"/>
      <c r="M3" s="327"/>
      <c r="N3" s="311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6"/>
      <c r="W3" s="319"/>
      <c r="X3" s="324"/>
      <c r="Y3" s="8"/>
      <c r="Z3" s="316"/>
      <c r="AA3" s="319"/>
      <c r="AB3" s="319"/>
      <c r="AC3" s="324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5" t="s">
        <v>129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6"/>
      <c r="T1" s="296"/>
      <c r="U1" s="296"/>
      <c r="V1" s="296"/>
      <c r="W1" s="296"/>
      <c r="X1" s="296"/>
      <c r="Y1" s="1"/>
      <c r="Z1" s="296" t="s">
        <v>7</v>
      </c>
      <c r="AA1" s="296"/>
      <c r="AB1" s="296"/>
      <c r="AC1" s="297"/>
    </row>
    <row r="2" spans="1:29" ht="121.5" customHeight="1" thickBot="1">
      <c r="A2" s="298" t="s">
        <v>94</v>
      </c>
      <c r="B2" s="300" t="s">
        <v>0</v>
      </c>
      <c r="C2" s="302" t="s">
        <v>8</v>
      </c>
      <c r="D2" s="303"/>
      <c r="E2" s="303"/>
      <c r="F2" s="303"/>
      <c r="G2" s="303"/>
      <c r="H2" s="303"/>
      <c r="I2" s="303"/>
      <c r="J2" s="304" t="s">
        <v>1</v>
      </c>
      <c r="K2" s="306" t="s">
        <v>2</v>
      </c>
      <c r="L2" s="306" t="s">
        <v>3</v>
      </c>
      <c r="M2" s="308" t="s">
        <v>128</v>
      </c>
      <c r="N2" s="310" t="s">
        <v>4</v>
      </c>
      <c r="O2" s="302" t="s">
        <v>9</v>
      </c>
      <c r="P2" s="328"/>
      <c r="Q2" s="328"/>
      <c r="R2" s="328"/>
      <c r="S2" s="328"/>
      <c r="T2" s="328"/>
      <c r="U2" s="328"/>
      <c r="V2" s="287" t="s">
        <v>1</v>
      </c>
      <c r="W2" s="289" t="s">
        <v>2</v>
      </c>
      <c r="X2" s="291" t="s">
        <v>5</v>
      </c>
      <c r="Y2" s="7"/>
      <c r="Z2" s="287" t="s">
        <v>1</v>
      </c>
      <c r="AA2" s="289" t="s">
        <v>2</v>
      </c>
      <c r="AB2" s="289" t="s">
        <v>6</v>
      </c>
      <c r="AC2" s="291" t="s">
        <v>128</v>
      </c>
    </row>
    <row r="3" spans="1:29" ht="15" thickBot="1">
      <c r="A3" s="299"/>
      <c r="B3" s="32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6"/>
      <c r="K3" s="312"/>
      <c r="L3" s="312"/>
      <c r="M3" s="327"/>
      <c r="N3" s="311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6"/>
      <c r="W3" s="319"/>
      <c r="X3" s="324"/>
      <c r="Y3" s="8"/>
      <c r="Z3" s="316"/>
      <c r="AA3" s="319"/>
      <c r="AB3" s="319"/>
      <c r="AC3" s="324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5" t="s">
        <v>131</v>
      </c>
      <c r="B1" s="296"/>
      <c r="C1" s="296"/>
      <c r="D1" s="296"/>
      <c r="E1" s="296"/>
      <c r="F1" s="296"/>
      <c r="G1" s="296"/>
      <c r="H1" s="296"/>
      <c r="I1" s="296"/>
      <c r="J1" s="296"/>
      <c r="K1" s="296"/>
      <c r="L1" s="296"/>
      <c r="M1" s="296"/>
      <c r="N1" s="296"/>
      <c r="O1" s="296"/>
      <c r="P1" s="296"/>
      <c r="Q1" s="296"/>
      <c r="R1" s="296"/>
      <c r="S1" s="296"/>
      <c r="T1" s="296"/>
      <c r="U1" s="296"/>
      <c r="V1" s="296"/>
      <c r="W1" s="296"/>
      <c r="X1" s="296"/>
      <c r="Y1" s="1"/>
      <c r="Z1" s="296" t="s">
        <v>7</v>
      </c>
      <c r="AA1" s="296"/>
      <c r="AB1" s="296"/>
      <c r="AC1" s="297"/>
    </row>
    <row r="2" spans="1:29" ht="121.5" customHeight="1" thickBot="1">
      <c r="A2" s="298" t="s">
        <v>95</v>
      </c>
      <c r="B2" s="300" t="s">
        <v>0</v>
      </c>
      <c r="C2" s="302" t="s">
        <v>8</v>
      </c>
      <c r="D2" s="303"/>
      <c r="E2" s="303"/>
      <c r="F2" s="303"/>
      <c r="G2" s="303"/>
      <c r="H2" s="303"/>
      <c r="I2" s="303"/>
      <c r="J2" s="304" t="s">
        <v>1</v>
      </c>
      <c r="K2" s="306" t="s">
        <v>2</v>
      </c>
      <c r="L2" s="306" t="s">
        <v>3</v>
      </c>
      <c r="M2" s="308" t="s">
        <v>128</v>
      </c>
      <c r="N2" s="310" t="s">
        <v>4</v>
      </c>
      <c r="O2" s="302" t="s">
        <v>9</v>
      </c>
      <c r="P2" s="328"/>
      <c r="Q2" s="328"/>
      <c r="R2" s="328"/>
      <c r="S2" s="328"/>
      <c r="T2" s="328"/>
      <c r="U2" s="328"/>
      <c r="V2" s="287" t="s">
        <v>1</v>
      </c>
      <c r="W2" s="289" t="s">
        <v>2</v>
      </c>
      <c r="X2" s="291" t="s">
        <v>5</v>
      </c>
      <c r="Y2" s="7"/>
      <c r="Z2" s="287" t="s">
        <v>1</v>
      </c>
      <c r="AA2" s="289" t="s">
        <v>2</v>
      </c>
      <c r="AB2" s="289" t="s">
        <v>6</v>
      </c>
      <c r="AC2" s="291" t="s">
        <v>128</v>
      </c>
    </row>
    <row r="3" spans="1:29" ht="15" thickBot="1">
      <c r="A3" s="299"/>
      <c r="B3" s="325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6"/>
      <c r="K3" s="312"/>
      <c r="L3" s="312"/>
      <c r="M3" s="327"/>
      <c r="N3" s="311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6"/>
      <c r="W3" s="319"/>
      <c r="X3" s="324"/>
      <c r="Y3" s="8"/>
      <c r="Z3" s="316"/>
      <c r="AA3" s="319"/>
      <c r="AB3" s="319"/>
      <c r="AC3" s="324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  <mergeCell ref="V2:V3"/>
    <mergeCell ref="W2:W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2026-01-06T11:18:16Z</dcterms:modified>
</cp:coreProperties>
</file>