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B73EFD06-6E2D-4951-BF2A-1EE668DA0582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28680" yWindow="810" windowWidth="30960" windowHeight="16800" tabRatio="955" activeTab="2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1" i="9" l="1"/>
  <c r="S13" i="15"/>
  <c r="O32" i="17"/>
  <c r="L94" i="17" l="1"/>
  <c r="N94" i="17"/>
  <c r="J19" i="15"/>
  <c r="L19" i="15"/>
  <c r="M62" i="17"/>
  <c r="M107" i="17"/>
  <c r="L107" i="17"/>
  <c r="J89" i="17"/>
  <c r="H89" i="17"/>
  <c r="J62" i="17"/>
  <c r="K14" i="17"/>
  <c r="K200" i="17"/>
  <c r="K156" i="17"/>
  <c r="H156" i="17"/>
  <c r="J189" i="17"/>
  <c r="H189" i="17"/>
  <c r="I19" i="9" l="1"/>
  <c r="H19" i="9"/>
  <c r="D143" i="17"/>
  <c r="D129" i="17" l="1"/>
  <c r="D222" i="17"/>
  <c r="D207" i="17"/>
  <c r="D191" i="17"/>
  <c r="D174" i="17"/>
  <c r="D158" i="17"/>
  <c r="D113" i="17"/>
  <c r="D81" i="17"/>
  <c r="D68" i="17"/>
  <c r="D51" i="17"/>
  <c r="D36" i="17"/>
  <c r="D17" i="17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F143" i="17"/>
  <c r="G143" i="17" s="1"/>
  <c r="H143" i="17" s="1"/>
  <c r="G89" i="17"/>
  <c r="Q6" i="9" l="1"/>
  <c r="P6" i="9"/>
  <c r="E19" i="9" l="1"/>
  <c r="D19" i="9"/>
  <c r="G179" i="17"/>
  <c r="F179" i="17"/>
  <c r="E179" i="17"/>
  <c r="G49" i="17"/>
  <c r="F49" i="17"/>
  <c r="E49" i="17"/>
  <c r="E2" i="22"/>
  <c r="F120" i="17"/>
  <c r="F55" i="17" l="1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F206" i="17" s="1"/>
  <c r="G200" i="17"/>
  <c r="I200" i="17"/>
  <c r="J200" i="17"/>
  <c r="J206" i="17" s="1"/>
  <c r="L200" i="17"/>
  <c r="M200" i="17"/>
  <c r="N200" i="17"/>
  <c r="O200" i="17"/>
  <c r="P200" i="17"/>
  <c r="Q200" i="17"/>
  <c r="G201" i="17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I157" i="17" l="1"/>
  <c r="I142" i="17"/>
  <c r="I143" i="17" s="1"/>
  <c r="G206" i="17"/>
  <c r="K206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S67" i="17" s="1"/>
  <c r="T62" i="17"/>
  <c r="T67" i="17" s="1"/>
  <c r="U62" i="17"/>
  <c r="U67" i="17" s="1"/>
  <c r="V62" i="17"/>
  <c r="V67" i="17" s="1"/>
  <c r="W62" i="17"/>
  <c r="W67" i="17" s="1"/>
  <c r="X62" i="17"/>
  <c r="X67" i="17" s="1"/>
  <c r="Y62" i="17"/>
  <c r="Y67" i="17" s="1"/>
  <c r="Z62" i="17"/>
  <c r="Z67" i="17" s="1"/>
  <c r="AA62" i="17"/>
  <c r="AA67" i="17" s="1"/>
  <c r="AB62" i="17"/>
  <c r="AB67" i="17" s="1"/>
  <c r="AC62" i="17"/>
  <c r="AC67" i="17" s="1"/>
  <c r="AD62" i="17"/>
  <c r="AD67" i="17" s="1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7" i="17" s="1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F67" i="17" s="1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Q67" i="17" l="1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A9" i="18" s="1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N143" i="17" s="1"/>
  <c r="P142" i="17"/>
  <c r="P143" i="17" s="1"/>
  <c r="L142" i="17"/>
  <c r="L143" i="17" s="1"/>
  <c r="F142" i="17"/>
  <c r="O142" i="17"/>
  <c r="O143" i="17" s="1"/>
  <c r="E142" i="17"/>
  <c r="Q142" i="17"/>
  <c r="Q143" i="17" s="1"/>
  <c r="G142" i="17"/>
  <c r="H142" i="17"/>
  <c r="J142" i="17"/>
  <c r="J143" i="17" s="1"/>
  <c r="M142" i="17"/>
  <c r="M143" i="17" s="1"/>
  <c r="A15" i="17"/>
  <c r="L20" i="18" l="1"/>
  <c r="K143" i="17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L10" i="18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L11" i="18" l="1"/>
  <c r="K36" i="17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L19" i="18" l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AN10" i="3" s="1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R18" i="13"/>
  <c r="AM14" i="13"/>
  <c r="R9" i="13"/>
  <c r="AM9" i="13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N16" i="23" l="1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8" i="18" l="1"/>
  <c r="H15" i="18"/>
  <c r="F15" i="18"/>
  <c r="J15" i="18" s="1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5" i="18" l="1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F207" i="17"/>
  <c r="G207" i="17" s="1"/>
  <c r="H207" i="17" s="1"/>
  <c r="I207" i="17" s="1"/>
  <c r="J207" i="17" s="1"/>
  <c r="L222" i="17" l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L15" i="18"/>
  <c r="K191" i="17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4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B116" i="17"/>
  <c r="A116" i="17" l="1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2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2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4" i="18" s="1"/>
  <c r="AJ19" i="23"/>
  <c r="AO4" i="23"/>
  <c r="AN4" i="23"/>
  <c r="R19" i="23"/>
  <c r="F14" i="18" l="1"/>
  <c r="H14" i="18"/>
  <c r="AN19" i="23"/>
  <c r="J19" i="6"/>
  <c r="I19" i="6"/>
  <c r="N19" i="15"/>
  <c r="M19" i="15"/>
  <c r="K19" i="15"/>
  <c r="I19" i="15"/>
  <c r="H19" i="15"/>
  <c r="G19" i="15"/>
  <c r="F19" i="15"/>
  <c r="E19" i="15"/>
  <c r="I14" i="18" l="1"/>
  <c r="J14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6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19" i="18"/>
  <c r="A8" i="18"/>
  <c r="A13" i="18"/>
  <c r="A15" i="18"/>
  <c r="A11" i="18"/>
  <c r="A21" i="18"/>
  <c r="F174" i="17"/>
  <c r="G174" i="17" s="1"/>
  <c r="H174" i="17" s="1"/>
  <c r="F81" i="17"/>
  <c r="K51" i="17" l="1"/>
  <c r="L51" i="17" s="1"/>
  <c r="G81" i="17"/>
  <c r="M51" i="17"/>
  <c r="N51" i="17" s="1"/>
  <c r="O51" i="17" s="1"/>
  <c r="P51" i="17" s="1"/>
  <c r="Q51" i="17" s="1"/>
  <c r="L21" i="18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0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5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19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6" i="18" s="1"/>
  <c r="C95" i="17"/>
  <c r="D16" i="18" s="1"/>
  <c r="R19" i="15"/>
  <c r="AO4" i="15"/>
  <c r="AM19" i="8"/>
  <c r="AL19" i="8"/>
  <c r="E10" i="18" s="1"/>
  <c r="C71" i="17"/>
  <c r="AL19" i="6"/>
  <c r="E13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F8" i="18"/>
  <c r="F9" i="18"/>
  <c r="I9" i="18" s="1"/>
  <c r="H9" i="18"/>
  <c r="F13" i="18"/>
  <c r="H13" i="18"/>
  <c r="F10" i="18"/>
  <c r="H10" i="18"/>
  <c r="E9" i="18"/>
  <c r="E15" i="18"/>
  <c r="H19" i="18"/>
  <c r="F19" i="18"/>
  <c r="H20" i="18"/>
  <c r="F20" i="18"/>
  <c r="F21" i="18"/>
  <c r="H21" i="18"/>
  <c r="F16" i="18"/>
  <c r="H16" i="18"/>
  <c r="F11" i="18"/>
  <c r="H11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2" i="18" s="1"/>
  <c r="C143" i="17"/>
  <c r="D11" i="18"/>
  <c r="AN19" i="7"/>
  <c r="AN19" i="13"/>
  <c r="AN19" i="12"/>
  <c r="D10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3" i="18" s="1"/>
  <c r="AI19" i="1"/>
  <c r="C4" i="17"/>
  <c r="AL19" i="4"/>
  <c r="E18" i="18" s="1"/>
  <c r="D19" i="18"/>
  <c r="AN19" i="8"/>
  <c r="D14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8" i="18"/>
  <c r="J9" i="18"/>
  <c r="J13" i="18"/>
  <c r="I13" i="18"/>
  <c r="I10" i="18"/>
  <c r="J10" i="18"/>
  <c r="H12" i="18"/>
  <c r="F12" i="18"/>
  <c r="I19" i="18"/>
  <c r="J19" i="18"/>
  <c r="J20" i="18"/>
  <c r="I20" i="18"/>
  <c r="I11" i="18"/>
  <c r="J11" i="18"/>
  <c r="J16" i="18"/>
  <c r="I16" i="18"/>
  <c r="I21" i="18"/>
  <c r="J21" i="18"/>
  <c r="D21" i="18"/>
  <c r="H18" i="18"/>
  <c r="F18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7" i="18"/>
  <c r="M81" i="17"/>
  <c r="C113" i="17"/>
  <c r="M17" i="18" s="1"/>
  <c r="AN19" i="3"/>
  <c r="AN19" i="4"/>
  <c r="AJ19" i="1"/>
  <c r="AM19" i="1"/>
  <c r="P19" i="1"/>
  <c r="AL4" i="1"/>
  <c r="C146" i="17" s="1"/>
  <c r="C158" i="17" s="1"/>
  <c r="D17" i="18" s="1"/>
  <c r="Q19" i="1"/>
  <c r="M20" i="18" l="1"/>
  <c r="M16" i="18"/>
  <c r="M11" i="18"/>
  <c r="I12" i="18"/>
  <c r="J12" i="18"/>
  <c r="E88" i="22"/>
  <c r="M19" i="18"/>
  <c r="M21" i="18"/>
  <c r="M10" i="18"/>
  <c r="M12" i="18"/>
  <c r="M13" i="18"/>
  <c r="J18" i="18"/>
  <c r="I18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2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20" i="18"/>
  <c r="J174" i="17"/>
  <c r="K174" i="17" s="1"/>
  <c r="L174" i="17" s="1"/>
  <c r="M174" i="17" s="1"/>
  <c r="N174" i="17" s="1"/>
  <c r="O174" i="17" s="1"/>
  <c r="P174" i="17" s="1"/>
  <c r="C171" i="17"/>
  <c r="D8" i="18"/>
  <c r="A163" i="17"/>
  <c r="C163" i="17"/>
  <c r="Q174" i="17" l="1"/>
  <c r="R174" i="17" s="1"/>
  <c r="L9" i="18"/>
  <c r="M9" i="18"/>
  <c r="F17" i="18"/>
  <c r="H17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O81" i="17"/>
  <c r="P81" i="17" s="1"/>
  <c r="Q81" i="17" s="1"/>
  <c r="S174" i="17"/>
  <c r="T174" i="17" s="1"/>
  <c r="U174" i="17" s="1"/>
  <c r="V174" i="17" s="1"/>
  <c r="A14" i="18"/>
  <c r="A16" i="18"/>
  <c r="L13" i="18" l="1"/>
  <c r="M15" i="18"/>
  <c r="E106" i="22"/>
  <c r="D141" i="22"/>
  <c r="D106" i="22"/>
  <c r="E104" i="22"/>
  <c r="I17" i="18"/>
  <c r="J17" i="18"/>
  <c r="L17" i="18"/>
  <c r="M14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9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<sst xmlns="http://schemas.openxmlformats.org/spreadsheetml/2006/main" count="1113" uniqueCount="374">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</sst>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9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4" fontId="31" fillId="0" borderId="0" xfId="0" applyNumberFormat="1" applyFont="1" applyAlignment="1">
      <alignment horizontal="center"/>
    </xf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164" fontId="67" fillId="0" borderId="0" xfId="0" applyNumberFormat="1" applyFont="1" applyAlignment="1">
      <alignment horizontal="center"/>
    </xf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80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82" fillId="2" borderId="19" xfId="0" applyFont="1" applyFill="1" applyBorder="1" applyAlignment="1" applyProtection="1">
      <alignment horizontal="center" vertical="center"/>
      <protection locked="0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8000"/>
      <color rgb="FF0000CC"/>
      <color rgb="FFFF33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zoomScale="140" zoomScaleNormal="140" workbookViewId="0">
      <selection activeCell="E4" sqref="E4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4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82">
        <v>0</v>
      </c>
      <c r="B1" s="277" t="s">
        <v>305</v>
      </c>
      <c r="C1" s="278"/>
      <c r="D1" s="278"/>
    </row>
    <row r="2" spans="1:20" ht="17.25" customHeight="1" x14ac:dyDescent="0.3">
      <c r="A2" s="283"/>
      <c r="B2" s="278"/>
      <c r="C2" s="278"/>
      <c r="D2" s="278"/>
      <c r="E2" s="229" t="s">
        <v>335</v>
      </c>
    </row>
    <row r="3" spans="1:20" ht="21" customHeight="1" x14ac:dyDescent="0.35">
      <c r="B3" s="279" t="s">
        <v>0</v>
      </c>
      <c r="C3" s="279"/>
      <c r="D3" s="280"/>
      <c r="E3" s="264">
        <v>46010</v>
      </c>
    </row>
    <row r="4" spans="1:20" ht="16.2" customHeight="1" x14ac:dyDescent="0.5">
      <c r="B4" s="281" t="str">
        <f>IF(A8=26,"EINDSTAND", "TUSSENSTAND"  )</f>
        <v>TUSSENSTAND</v>
      </c>
      <c r="C4" s="281"/>
      <c r="D4" s="281"/>
      <c r="E4" t="s">
        <v>373</v>
      </c>
      <c r="K4" s="46"/>
    </row>
    <row r="5" spans="1:20" ht="25.05" customHeight="1" thickBot="1" x14ac:dyDescent="0.55000000000000004">
      <c r="B5" s="281"/>
      <c r="C5" s="281"/>
      <c r="D5" s="281"/>
      <c r="E5" s="108"/>
      <c r="F5" s="108"/>
      <c r="G5" s="108"/>
      <c r="H5" s="108"/>
      <c r="I5" s="108"/>
      <c r="J5" s="108"/>
      <c r="K5" s="228"/>
      <c r="L5" s="255" t="s">
        <v>355</v>
      </c>
      <c r="M5" s="255" t="s">
        <v>356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26" t="s">
        <v>3</v>
      </c>
      <c r="E6" s="248" t="s">
        <v>350</v>
      </c>
      <c r="F6" s="276" t="s">
        <v>349</v>
      </c>
      <c r="G6" s="276"/>
      <c r="H6" s="276"/>
      <c r="I6" s="253" t="s">
        <v>353</v>
      </c>
      <c r="J6" s="254" t="s">
        <v>354</v>
      </c>
      <c r="K6" s="238"/>
      <c r="L6" s="256">
        <v>13</v>
      </c>
      <c r="M6" s="256">
        <v>13</v>
      </c>
      <c r="N6" s="238"/>
      <c r="O6" s="238"/>
      <c r="P6" s="238"/>
      <c r="Q6" s="238"/>
      <c r="R6" s="238"/>
      <c r="S6" s="236"/>
      <c r="T6" s="236"/>
    </row>
    <row r="7" spans="1:20" s="221" customFormat="1" ht="6.75" customHeight="1" x14ac:dyDescent="0.3">
      <c r="B7" s="222"/>
      <c r="E7" s="249"/>
      <c r="F7" s="249"/>
      <c r="G7" s="249"/>
      <c r="H7" s="249"/>
      <c r="I7" s="239"/>
      <c r="J7" s="239"/>
      <c r="K7" s="239"/>
      <c r="L7" s="239"/>
      <c r="M7" s="239" t="s">
        <v>368</v>
      </c>
      <c r="N7" s="239"/>
      <c r="O7" s="239"/>
      <c r="P7" s="239"/>
      <c r="Q7" s="239"/>
      <c r="R7" s="239"/>
      <c r="S7" s="237"/>
      <c r="T7" s="237"/>
    </row>
    <row r="8" spans="1:20" s="44" customFormat="1" ht="19.2" customHeight="1" x14ac:dyDescent="0.35">
      <c r="A8" s="218">
        <f>COUNTIF(Punten!$E$206:'Punten'!$AD$206,"&gt;0")</f>
        <v>13</v>
      </c>
      <c r="B8" s="219" t="s">
        <v>4</v>
      </c>
      <c r="C8" s="242" t="s">
        <v>8</v>
      </c>
      <c r="D8" s="234">
        <f>Punten!$C$207</f>
        <v>864.90599999999995</v>
      </c>
      <c r="E8" s="250">
        <f>Wildert2!$AL$19</f>
        <v>3527</v>
      </c>
      <c r="F8" s="240" t="str">
        <f>INDEX(Wildert2!$A$4:$A$18,MATCH(MAX(Wildert2!$AO$4:$AO$18),Wildert2!$AO$4:$AO$18,0))</f>
        <v>Van Den Bergh Jacky</v>
      </c>
      <c r="G8" s="244"/>
      <c r="H8" s="251">
        <f>MAX(Wildert2!$AO$4:$AO$18)</f>
        <v>152.75229357798165</v>
      </c>
      <c r="I8" s="259">
        <f>VLOOKUP($F8,Wildert2!$A$4:$AO$18,40,0)</f>
        <v>166.5</v>
      </c>
      <c r="J8" s="260">
        <f>VLOOKUP($F8,Wildert2!$A$4:$AO$18,39,0)</f>
        <v>2</v>
      </c>
      <c r="K8" s="241"/>
      <c r="L8" s="257">
        <f>VLOOKUP($C8,Punten!$D$4:$AD$222,1+$L$6,0)</f>
        <v>864.90600000000018</v>
      </c>
      <c r="M8" s="257">
        <f>VLOOKUP($C8,Punten!$C$4:$AD$222,2+$M$6,0)</f>
        <v>82.206000000000003</v>
      </c>
      <c r="N8" s="241"/>
      <c r="O8" s="241"/>
      <c r="P8" s="241"/>
      <c r="Q8" s="241"/>
      <c r="R8" s="241"/>
      <c r="S8" s="233"/>
      <c r="T8" s="233"/>
    </row>
    <row r="9" spans="1:20" s="44" customFormat="1" ht="20.100000000000001" customHeight="1" x14ac:dyDescent="0.35">
      <c r="A9" s="218">
        <f>COUNTIF(Punten!E173:'Punten'!AD173,"&gt;0")</f>
        <v>13</v>
      </c>
      <c r="B9" s="219" t="s">
        <v>4</v>
      </c>
      <c r="C9" s="242" t="s">
        <v>14</v>
      </c>
      <c r="D9" s="227">
        <f>Punten!$C$174</f>
        <v>814.81500000000005</v>
      </c>
      <c r="E9" s="250">
        <f>DeBeek!$AL$19</f>
        <v>2459</v>
      </c>
      <c r="F9" s="240" t="str">
        <f>INDEX(Putte!$A$4:$A$18,MATCH(MAX(Putte!$AO$4:$AO$18),Putte!$AO$4:$AO$18,0))</f>
        <v>Van Den Bleeken Eddy</v>
      </c>
      <c r="G9" s="244"/>
      <c r="H9" s="251">
        <f>MAX(Putte!$AO$4:$AO$18)</f>
        <v>124.24242424242425</v>
      </c>
      <c r="I9" s="259">
        <f>VLOOKUP($F9,Putte!$A$4:$AO$18,40,0)</f>
        <v>27.333333333333332</v>
      </c>
      <c r="J9" s="260">
        <f>VLOOKUP($F9,Putte!$A$4:$AO$18,39,0)</f>
        <v>6</v>
      </c>
      <c r="K9" s="241"/>
      <c r="L9" s="257">
        <f>VLOOKUP($C9,Punten!$D$4:$AD$222,1+$L$6,0)</f>
        <v>814.81500000000005</v>
      </c>
      <c r="M9" s="257">
        <f>VLOOKUP($C9,Punten!$C$4:$AD$222,2+$M$6,0)</f>
        <v>54.387</v>
      </c>
      <c r="N9" s="241"/>
      <c r="O9" s="241"/>
      <c r="P9" s="241"/>
      <c r="Q9" s="241"/>
      <c r="R9" s="241"/>
      <c r="S9" s="233"/>
      <c r="T9" s="233"/>
    </row>
    <row r="10" spans="1:20" s="44" customFormat="1" ht="20.100000000000001" customHeight="1" x14ac:dyDescent="0.35">
      <c r="A10" s="218">
        <f>COUNTIF(Punten!$E$128:'Punten'!$AD$128,"&gt;0")</f>
        <v>13</v>
      </c>
      <c r="B10" s="219" t="s">
        <v>4</v>
      </c>
      <c r="C10" s="242" t="s">
        <v>15</v>
      </c>
      <c r="D10" s="227">
        <f>Punten!$C$129</f>
        <v>797.62600000000009</v>
      </c>
      <c r="E10" s="250">
        <f>Meeuwkes!$AL$19</f>
        <v>2568.0001000000002</v>
      </c>
      <c r="F10" s="240" t="str">
        <f>INDEX(Meeuwkes!$A$4:$A$18,MATCH(MAX(Meeuwkes!$AO$4:$AO$18),Meeuwkes!$AO$4:$AO$18,0))</f>
        <v>Bove René</v>
      </c>
      <c r="G10" s="244"/>
      <c r="H10" s="251">
        <f>MAX(Meeuwkes!$AO$4:$AO$18)</f>
        <v>136.66666666666666</v>
      </c>
      <c r="I10" s="259">
        <f>VLOOKUP($F10,Meeuwkes!$A$4:$AO$18,40,0)</f>
        <v>27.333333333333332</v>
      </c>
      <c r="J10" s="260">
        <f>VLOOKUP($F10,Meeuwkes!$A$4:$AO$18,39,0)</f>
        <v>6</v>
      </c>
      <c r="K10" s="241"/>
      <c r="L10" s="257">
        <f>VLOOKUP($C10,Punten!$D$4:$AD$222,1+$L$6,0)</f>
        <v>797.62599999999986</v>
      </c>
      <c r="M10" s="257">
        <f>VLOOKUP($C10,Punten!$C$4:$AD$222,2+$M$6,0)</f>
        <v>64.419000000000011</v>
      </c>
      <c r="N10" s="241"/>
      <c r="O10" s="241"/>
      <c r="P10" s="241"/>
      <c r="Q10" s="241"/>
      <c r="R10" s="241"/>
      <c r="S10" s="233"/>
      <c r="T10" s="233"/>
    </row>
    <row r="11" spans="1:20" s="44" customFormat="1" ht="20.100000000000001" customHeight="1" x14ac:dyDescent="0.35">
      <c r="A11" s="244">
        <f>COUNTIF(Punten!$E$67:'Punten'!$AD$67,"&gt;0")</f>
        <v>13</v>
      </c>
      <c r="B11" s="245" t="s">
        <v>4</v>
      </c>
      <c r="C11" s="246" t="s">
        <v>13</v>
      </c>
      <c r="D11" s="247">
        <f>Punten!$C$68</f>
        <v>796.56099999999992</v>
      </c>
      <c r="E11" s="250">
        <f>Meeuwen2!$AL$19</f>
        <v>2830</v>
      </c>
      <c r="F11" s="240" t="str">
        <f>INDEX(Meeuwen2!$A$4:$A$18,MATCH(MAX(Meeuwen2!$AO$4:$AO$18),Meeuwen2!$AO$4:$AO$18,0))</f>
        <v>Lucassen Rini</v>
      </c>
      <c r="G11" s="252"/>
      <c r="H11" s="251">
        <f>MAX(Meeuwen2!$AO$4:$AO$18)</f>
        <v>120.68965517241379</v>
      </c>
      <c r="I11" s="259">
        <f>VLOOKUP($F11,Meeuwen2!$A$4:$AO$18,40,0)</f>
        <v>35</v>
      </c>
      <c r="J11" s="260">
        <f>VLOOKUP($F11,Meeuwen2!$A$4:$AO$18,39,0)</f>
        <v>2</v>
      </c>
      <c r="K11" s="241"/>
      <c r="L11" s="257">
        <f>VLOOKUP($C11,Punten!$D$4:$AD$222,1+$L$6,0)</f>
        <v>796.56100000000004</v>
      </c>
      <c r="M11" s="257">
        <f>VLOOKUP($C11,Punten!$C$4:$AD$222,2+$M$6,0)</f>
        <v>65.793000000000006</v>
      </c>
      <c r="N11" s="241"/>
      <c r="O11" s="241"/>
      <c r="P11" s="241"/>
      <c r="Q11" s="241"/>
      <c r="R11" s="241"/>
      <c r="S11" s="233"/>
      <c r="T11" s="233"/>
    </row>
    <row r="12" spans="1:20" s="44" customFormat="1" ht="20.100000000000001" customHeight="1" x14ac:dyDescent="0.35">
      <c r="A12" s="218">
        <f>COUNTIF(Punten!E112:'Punten'!AD112,"&gt;0")</f>
        <v>13</v>
      </c>
      <c r="B12" s="219" t="s">
        <v>4</v>
      </c>
      <c r="C12" s="242" t="s">
        <v>5</v>
      </c>
      <c r="D12" s="227">
        <f>Punten!$C$113</f>
        <v>792.56899999999973</v>
      </c>
      <c r="E12" s="250">
        <f>Oudeglorie!$AL$19</f>
        <v>2393</v>
      </c>
      <c r="F12" s="240" t="str">
        <f>INDEX(Oudeglorie!$A$4:$A$18,MATCH(MAX(Oudeglorie!$AO$4:$AO$18),Oudeglorie!$AO$4:$AO$18,0))</f>
        <v xml:space="preserve">Aerden Carl  </v>
      </c>
      <c r="G12" s="244"/>
      <c r="H12" s="251">
        <f>MAX(Oudeglorie!$AO$4:$AO$18)</f>
        <v>125</v>
      </c>
      <c r="I12" s="259">
        <f>VLOOKUP($F12,Oudeglorie!$A$4:$AO$18,40,0)</f>
        <v>30</v>
      </c>
      <c r="J12" s="260">
        <f>VLOOKUP($F12,Oudeglorie!$A$4:$AO$18,39,0)</f>
        <v>7</v>
      </c>
      <c r="K12" s="241"/>
      <c r="L12" s="257">
        <f>VLOOKUP($C12,Punten!$D$4:$AD$222,1+$L$6,0)</f>
        <v>792.56900000000007</v>
      </c>
      <c r="M12" s="257">
        <f>VLOOKUP($C12,Punten!$C$4:$AD$222,2+$M$6,0)</f>
        <v>73.274000000000001</v>
      </c>
      <c r="N12" s="241"/>
      <c r="O12" s="241"/>
      <c r="P12" s="241"/>
      <c r="Q12" s="241"/>
      <c r="R12" s="241"/>
      <c r="S12" s="233"/>
      <c r="T12" s="233"/>
    </row>
    <row r="13" spans="1:20" s="44" customFormat="1" ht="20.100000000000001" customHeight="1" x14ac:dyDescent="0.35">
      <c r="A13" s="218">
        <f>COUNTIF(Punten!$E$80:'Punten'!$AD$80,"&gt;0")</f>
        <v>13</v>
      </c>
      <c r="B13" s="219" t="s">
        <v>4</v>
      </c>
      <c r="C13" s="242" t="s">
        <v>11</v>
      </c>
      <c r="D13" s="227">
        <f>Punten!$C$81</f>
        <v>786.73399999999992</v>
      </c>
      <c r="E13" s="250">
        <f>Molenheike!$AL$19</f>
        <v>3072</v>
      </c>
      <c r="F13" s="240" t="str">
        <f>INDEX(Molenheike!$A$4:$A$18,MATCH(MAX(Molenheike!$AO$4:$AO$18),Molenheike!$AO$4:$AO$18,0))</f>
        <v>Keuppens Marc</v>
      </c>
      <c r="G13" s="244"/>
      <c r="H13" s="251">
        <f>MAX(Molenheike!$AO$4:$AO$18)</f>
        <v>116.66666666666667</v>
      </c>
      <c r="I13" s="259">
        <f>VLOOKUP($F13,Molenheike!$A$4:$AO$18,40,0)</f>
        <v>35</v>
      </c>
      <c r="J13" s="260">
        <f>VLOOKUP($F13,Molenheike!$A$4:$AO$18,39,0)</f>
        <v>9</v>
      </c>
      <c r="K13" s="241"/>
      <c r="L13" s="257">
        <f>VLOOKUP($C13,Punten!$D$4:$AD$222,1+$L$6,0)</f>
        <v>786.73400000000004</v>
      </c>
      <c r="M13" s="257">
        <f>VLOOKUP($C13,Punten!$C$4:$AD$222,2+$M$6,0)</f>
        <v>81.981999999999999</v>
      </c>
      <c r="N13" s="241"/>
      <c r="O13" s="241"/>
      <c r="P13" s="241"/>
      <c r="Q13" s="241"/>
      <c r="R13" s="241"/>
      <c r="S13" s="233"/>
      <c r="T13" s="233"/>
    </row>
    <row r="14" spans="1:20" s="44" customFormat="1" ht="20.100000000000001" customHeight="1" x14ac:dyDescent="0.35">
      <c r="A14" s="218">
        <f>COUNTIF(Punten!$E$190:'Punten'!$AD$190,"&gt;0")</f>
        <v>13</v>
      </c>
      <c r="B14" s="219" t="s">
        <v>4</v>
      </c>
      <c r="C14" s="243" t="s">
        <v>12</v>
      </c>
      <c r="D14" s="234">
        <f>Punten!$C$191</f>
        <v>773.12</v>
      </c>
      <c r="E14" s="250">
        <f>Wildert1!$AL$19</f>
        <v>2701</v>
      </c>
      <c r="F14" s="240" t="str">
        <f>INDEX(Wildert1!$A$4:$A$18,MATCH(MAX(Wildert1!$AO$4:$AO$18),Wildert1!$AO$4:$AO$18,0))</f>
        <v xml:space="preserve">Konings Guido </v>
      </c>
      <c r="G14" s="244"/>
      <c r="H14" s="251">
        <f>MAX(Wildert1!$AO$4:$AO$18)</f>
        <v>136.80555555555557</v>
      </c>
      <c r="I14" s="259">
        <f>VLOOKUP($F14,Wildert1!$A$4:$AO$18,40,0)</f>
        <v>32.833333333333336</v>
      </c>
      <c r="J14" s="260">
        <f>VLOOKUP($F14,Wildert1!$A$4:$AO$18,39,0)</f>
        <v>6</v>
      </c>
      <c r="K14" s="241"/>
      <c r="L14" s="257">
        <f>VLOOKUP($C14,Punten!$D$4:$AD$222,1+$L$6,0)</f>
        <v>773.11999999999989</v>
      </c>
      <c r="M14" s="257">
        <f>VLOOKUP($C14,Punten!$C$4:$AD$222,2+$M$6,0)</f>
        <v>55.677</v>
      </c>
      <c r="N14" s="241"/>
      <c r="O14" s="241"/>
      <c r="P14" s="241"/>
      <c r="Q14" s="241"/>
      <c r="R14" s="241"/>
      <c r="S14" s="233"/>
      <c r="T14" s="233"/>
    </row>
    <row r="15" spans="1:20" s="44" customFormat="1" ht="20.100000000000001" customHeight="1" x14ac:dyDescent="0.35">
      <c r="A15" s="218">
        <f>COUNTIF(Punten!$E$221:'Punten'!$AD$221,"&gt;0")</f>
        <v>13</v>
      </c>
      <c r="B15" s="219" t="s">
        <v>4</v>
      </c>
      <c r="C15" s="242" t="s">
        <v>292</v>
      </c>
      <c r="D15" s="227">
        <f>Punten!$C$222</f>
        <v>765.88400000000001</v>
      </c>
      <c r="E15" s="250">
        <f>DeBeek!$AL$19</f>
        <v>2459</v>
      </c>
      <c r="F15" s="240" t="str">
        <f>INDEX(DeBeek!$A$4:$A$18,MATCH(MAX(DeBeek!$AO$4:$AO$18),DeBeek!$AO$4:$AO$18,0))</f>
        <v>Beyers Armand</v>
      </c>
      <c r="G15" s="244"/>
      <c r="H15" s="251">
        <f>MAX(DeBeek!$AO$4:$AO$18)</f>
        <v>121.82539682539681</v>
      </c>
      <c r="I15" s="259">
        <f>VLOOKUP($F15,DeBeek!$A$4:$AO$18,40,0)</f>
        <v>43.857142857142854</v>
      </c>
      <c r="J15" s="260">
        <f>VLOOKUP($F15,DeBeek!$A$4:$AO$18,39,0)</f>
        <v>7</v>
      </c>
      <c r="K15" s="241"/>
      <c r="L15" s="257">
        <f>VLOOKUP($C15,Punten!$D$4:$AD$222,1+$L$6,0)</f>
        <v>765.88400000000001</v>
      </c>
      <c r="M15" s="257">
        <f>VLOOKUP($C15,Punten!$C$4:$AD$222,2+$M$6,0)</f>
        <v>64.019000000000005</v>
      </c>
      <c r="N15" s="241"/>
      <c r="O15" s="241"/>
      <c r="P15" s="241"/>
      <c r="Q15" s="241"/>
      <c r="R15" s="241"/>
      <c r="S15" s="233"/>
      <c r="T15" s="233"/>
    </row>
    <row r="16" spans="1:20" s="44" customFormat="1" ht="20.100000000000001" customHeight="1" x14ac:dyDescent="0.35">
      <c r="A16" s="244">
        <f>COUNTIF(Punten!$E$94:'Punten'!$AD$94,"&gt;0")</f>
        <v>13</v>
      </c>
      <c r="B16" s="245" t="s">
        <v>4</v>
      </c>
      <c r="C16" s="246" t="s">
        <v>291</v>
      </c>
      <c r="D16" s="247">
        <f>Punten!$C$95</f>
        <v>765.46900000000005</v>
      </c>
      <c r="E16" s="250">
        <f>Nispen!$AL$19</f>
        <v>2489</v>
      </c>
      <c r="F16" s="240" t="str">
        <f>INDEX(Nispen!$A$4:$A$18,MATCH(MAX(Nispen!$AO$4:$AO$18),Nispen!$AO$4:$AO$18,0))</f>
        <v>Brouwers Vic</v>
      </c>
      <c r="G16" s="244"/>
      <c r="H16" s="251">
        <f>MAX(Nispen!$AO$4:$AO$18)</f>
        <v>109.9264705882353</v>
      </c>
      <c r="I16" s="259">
        <f>VLOOKUP($F16,Nispen!$A$4:$AO$18,40,0)</f>
        <v>74.75</v>
      </c>
      <c r="J16" s="260">
        <f>VLOOKUP($F16,Nispen!$A$4:$AO$18,39,0)</f>
        <v>12</v>
      </c>
      <c r="K16" s="241"/>
      <c r="L16" s="257">
        <f>VLOOKUP($C16,Punten!$D$4:$AD$222,1+$L$6,0)</f>
        <v>765.46899999999994</v>
      </c>
      <c r="M16" s="257">
        <f>VLOOKUP($C16,Punten!$C$4:$AD$222,2+$M$6,0)</f>
        <v>56.138999999999996</v>
      </c>
      <c r="N16" s="241"/>
      <c r="O16" s="241"/>
      <c r="P16" s="241"/>
      <c r="Q16" s="241"/>
      <c r="R16" s="241" t="s">
        <v>369</v>
      </c>
      <c r="S16" s="233"/>
      <c r="T16" s="233"/>
    </row>
    <row r="17" spans="1:20" s="44" customFormat="1" ht="20.100000000000001" customHeight="1" x14ac:dyDescent="0.35">
      <c r="A17" s="244">
        <f>COUNTIF(Punten!$E$157:'Punten'!$AD$157,"&gt;0")</f>
        <v>13</v>
      </c>
      <c r="B17" s="245" t="s">
        <v>4</v>
      </c>
      <c r="C17" s="246" t="s">
        <v>9</v>
      </c>
      <c r="D17" s="247">
        <f>Punten!$C$158</f>
        <v>764.89300000000003</v>
      </c>
      <c r="E17" s="250">
        <f>Rooiebal2!$AL$19</f>
        <v>2352</v>
      </c>
      <c r="F17" s="240" t="str">
        <f>INDEX(Rooiebal2!$A$4:$A$18,MATCH(MAX(Rooiebal2!$AO$4:$AO$18),Rooiebal2!$AO$4:$AO$18,0))</f>
        <v xml:space="preserve">Donckers Johnny </v>
      </c>
      <c r="G17" s="244"/>
      <c r="H17" s="251">
        <f>MAX(Rooiebal2!$AO$4:$AO$18)</f>
        <v>132</v>
      </c>
      <c r="I17" s="259">
        <f>VLOOKUP($F17,Rooiebal2!$A$4:$AO$18,40,0)</f>
        <v>33</v>
      </c>
      <c r="J17" s="260">
        <f>VLOOKUP($F17,Rooiebal2!$A$4:$AO$18,39,0)</f>
        <v>9</v>
      </c>
      <c r="K17" s="241"/>
      <c r="L17" s="257">
        <f>VLOOKUP($C17,Punten!$D$4:$AD$222,1+$L$6,0)</f>
        <v>764.89300000000003</v>
      </c>
      <c r="M17" s="257">
        <f>VLOOKUP($C17,Punten!$C$4:$AD$222,2+$M$6,0)</f>
        <v>45.399000000000001</v>
      </c>
      <c r="N17" s="241"/>
      <c r="O17" s="241"/>
      <c r="P17" s="241"/>
      <c r="Q17" s="241"/>
      <c r="R17" s="241"/>
      <c r="S17" s="233"/>
      <c r="T17" s="233"/>
    </row>
    <row r="18" spans="1:20" s="44" customFormat="1" ht="20.100000000000001" customHeight="1" x14ac:dyDescent="0.35">
      <c r="A18" s="218">
        <f>COUNTIF(Punten!$E$16:'Punten'!$AD$16,"&gt;0")</f>
        <v>13</v>
      </c>
      <c r="B18" s="219" t="s">
        <v>4</v>
      </c>
      <c r="C18" s="243" t="s">
        <v>6</v>
      </c>
      <c r="D18" s="227">
        <f>Punten!$C$17</f>
        <v>741.62200000000007</v>
      </c>
      <c r="E18" s="250">
        <f>Horendonk!$AL$19</f>
        <v>2032</v>
      </c>
      <c r="F18" s="240" t="str">
        <f>INDEX(Horendonk!$A$4:$A$18,MATCH(MAX(Horendonk!$AO$4:$AO$18),Horendonk!$AO$4:$AO$18,0))</f>
        <v>Veraart Jef     (ns)</v>
      </c>
      <c r="G18" s="244"/>
      <c r="H18" s="251">
        <f>MAX(Horendonk!$AO$4:$AO$18)</f>
        <v>122.22222222222223</v>
      </c>
      <c r="I18" s="259">
        <f>VLOOKUP($F18,Horendonk!$A$4:$AO$18,40,0)</f>
        <v>33</v>
      </c>
      <c r="J18" s="260">
        <f>VLOOKUP($F18,Horendonk!$A$4:$AO$18,39,0)</f>
        <v>2</v>
      </c>
      <c r="K18" s="241"/>
      <c r="L18" s="257">
        <f>VLOOKUP($C18,Punten!$D$4:$AD$222,1+$L$6,0)</f>
        <v>741.62200000000007</v>
      </c>
      <c r="M18" s="257">
        <f>VLOOKUP($C18,Punten!$C$4:$AD$222,2+$M$6,0)</f>
        <v>57.088000000000001</v>
      </c>
      <c r="N18" s="241"/>
      <c r="O18" s="241"/>
      <c r="P18" s="241"/>
      <c r="Q18" s="241"/>
      <c r="R18" s="241"/>
      <c r="S18" s="233"/>
      <c r="T18" s="233"/>
    </row>
    <row r="19" spans="1:20" s="44" customFormat="1" ht="20.100000000000001" customHeight="1" x14ac:dyDescent="0.35">
      <c r="A19" s="244">
        <f>COUNTIF(Punten!$E$35:'Punten'!$AD$35,"&gt;0")</f>
        <v>13</v>
      </c>
      <c r="B19" s="245" t="s">
        <v>4</v>
      </c>
      <c r="C19" s="243" t="s">
        <v>10</v>
      </c>
      <c r="D19" s="247">
        <f>Punten!$C$36</f>
        <v>725.95100000000014</v>
      </c>
      <c r="E19" s="250">
        <f>Kerkuilen!$AL$19</f>
        <v>3251</v>
      </c>
      <c r="F19" s="240" t="str">
        <f>INDEX(Kerkuilen!$A$4:$A$18,MATCH(MAX(Kerkuilen!$AO$4:$AO$18),Kerkuilen!$AO$4:$AO$18,0))</f>
        <v>Van Oers John</v>
      </c>
      <c r="G19" s="244"/>
      <c r="H19" s="251">
        <f>MAX(Kerkuilen!$AO$4:$AO$18)</f>
        <v>135.48387096774192</v>
      </c>
      <c r="I19" s="259">
        <f>VLOOKUP($F19,Kerkuilen!$A$4:$AO$18,40,0)</f>
        <v>42</v>
      </c>
      <c r="J19" s="260">
        <f>VLOOKUP($F19,Kerkuilen!$A$4:$AO$18,39,0)</f>
        <v>1</v>
      </c>
      <c r="K19" s="241"/>
      <c r="L19" s="257">
        <f>VLOOKUP($C19,Punten!$D$4:$AD$222,1+$L$6,0)</f>
        <v>725.95100000000002</v>
      </c>
      <c r="M19" s="257">
        <f>VLOOKUP($C19,Punten!$C$4:$AD$222,2+$M$6,0)</f>
        <v>57.758000000000003</v>
      </c>
      <c r="N19" s="241"/>
      <c r="O19" s="241"/>
      <c r="P19" s="241"/>
      <c r="Q19" s="241"/>
      <c r="R19" s="241"/>
      <c r="S19" s="233"/>
      <c r="T19" s="233"/>
    </row>
    <row r="20" spans="1:20" s="44" customFormat="1" ht="20.100000000000001" customHeight="1" x14ac:dyDescent="0.35">
      <c r="A20" s="244">
        <f>COUNTIF(Punten!$E$142:'Punten'!$AD$142,"&gt;0")</f>
        <v>13</v>
      </c>
      <c r="B20" s="245" t="s">
        <v>4</v>
      </c>
      <c r="C20" s="243" t="s">
        <v>7</v>
      </c>
      <c r="D20" s="247">
        <f>Punten!$C$143</f>
        <v>712.11899999999991</v>
      </c>
      <c r="E20" s="250">
        <f>Rooiebal1!$AL$19</f>
        <v>2050</v>
      </c>
      <c r="F20" s="240" t="str">
        <f>INDEX(Rooiebal1!$A$4:$A$18,MATCH(MAX(Rooiebal1!$AO$4:$AO$18),Rooiebal1!$AO$4:$AO$18,0))</f>
        <v xml:space="preserve">Raeymakers Pierre </v>
      </c>
      <c r="G20" s="244"/>
      <c r="H20" s="251">
        <f>MAX(Rooiebal1!$AO$4:$AO$18)</f>
        <v>143.47826086956522</v>
      </c>
      <c r="I20" s="259">
        <f>VLOOKUP($F20,Rooiebal1!$A$4:$AO$18,40,0)</f>
        <v>33</v>
      </c>
      <c r="J20" s="260">
        <f>VLOOKUP($F20,Rooiebal1!$A$4:$AO$18,39,0)</f>
        <v>2</v>
      </c>
      <c r="K20" s="241"/>
      <c r="L20" s="257">
        <f>VLOOKUP($C20,Punten!$D$4:$AD$222,1+$L$6,0)</f>
        <v>712.11900000000014</v>
      </c>
      <c r="M20" s="257">
        <f>VLOOKUP($C20,Punten!$C$4:$AD$222,2+$M$6,0)</f>
        <v>53.099000000000004</v>
      </c>
      <c r="N20" s="241"/>
      <c r="O20" s="241"/>
      <c r="P20" s="241"/>
      <c r="Q20" s="241"/>
      <c r="R20" s="241"/>
      <c r="S20" s="233"/>
      <c r="T20" s="233"/>
    </row>
    <row r="21" spans="1:20" ht="19.95" customHeight="1" x14ac:dyDescent="0.35">
      <c r="A21" s="244">
        <f>COUNTIF(Punten!$E$50:'Punten'!$AD$50,"&gt;0")</f>
        <v>13</v>
      </c>
      <c r="B21" s="245" t="s">
        <v>4</v>
      </c>
      <c r="C21" s="243" t="s">
        <v>16</v>
      </c>
      <c r="D21" s="247">
        <f>Punten!$C$51</f>
        <v>666.90200000000004</v>
      </c>
      <c r="E21" s="250">
        <f>Meeuwen1!$AL$19</f>
        <v>1760</v>
      </c>
      <c r="F21" s="240" t="str">
        <f>INDEX(Meeuwen1!$A$4:$A$18,MATCH(MAX(Meeuwen1!$AO$4:$AO$18),Meeuwen1!$AO$4:$AO$18,0))</f>
        <v>Vossen Filip</v>
      </c>
      <c r="G21" s="244"/>
      <c r="H21" s="251">
        <f>MAX(Meeuwen1!$AO$4:$AO$18)</f>
        <v>111.71875</v>
      </c>
      <c r="I21" s="259">
        <f>VLOOKUP($F21,Meeuwen1!$A$4:$AO$18,40,0)</f>
        <v>17.875</v>
      </c>
      <c r="J21" s="260">
        <f>VLOOKUP($F21,Meeuwen1!$A$4:$AO$18,39,0)</f>
        <v>8</v>
      </c>
      <c r="K21" s="35"/>
      <c r="L21" s="257">
        <f>VLOOKUP($C21,Punten!$D$4:$AD$222,1+$L$6,0)</f>
        <v>666.90200000000004</v>
      </c>
      <c r="M21" s="257">
        <f>VLOOKUP($C21,Punten!$C$4:$AD$222,2+$M$6,0)</f>
        <v>51.216000000000001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290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5" operator="equal">
      <formula>0</formula>
    </cfRule>
  </conditionalFormatting>
  <conditionalFormatting sqref="C8">
    <cfRule type="expression" dxfId="106" priority="15">
      <formula>$A$1&lt;&gt;0</formula>
    </cfRule>
  </conditionalFormatting>
  <conditionalFormatting sqref="C21">
    <cfRule type="expression" dxfId="105" priority="4">
      <formula>$A$1&lt;&gt;1</formula>
    </cfRule>
  </conditionalFormatting>
  <conditionalFormatting sqref="E5:M21">
    <cfRule type="expression" dxfId="104" priority="7">
      <formula>$A$1&lt;1</formula>
    </cfRule>
  </conditionalFormatting>
  <conditionalFormatting sqref="E5:N21">
    <cfRule type="expression" dxfId="103" priority="3">
      <formula>$A$1&gt;2</formula>
    </cfRule>
  </conditionalFormatting>
  <conditionalFormatting sqref="L5:M21">
    <cfRule type="expression" dxfId="102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topLeftCell="A201" zoomScale="107" zoomScaleNormal="100" workbookViewId="0">
      <selection activeCell="A225" sqref="A225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6</v>
      </c>
      <c r="B4" s="28" t="str">
        <f>Horendonk!A4</f>
        <v>Ansems Ferre</v>
      </c>
      <c r="C4" s="32">
        <f>IF(Horendonk!AL4=0," ",SUM(E4:AD4))</f>
        <v>70.525000000000006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5</v>
      </c>
      <c r="B5" s="28" t="str">
        <f>Horendonk!A5</f>
        <v xml:space="preserve">Arnouts Louis    </v>
      </c>
      <c r="C5" s="32">
        <f>IF(Horendonk!AL5=0," ",SUM(E5:AD5))</f>
        <v>47.715000000000003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9</v>
      </c>
      <c r="B7" s="28" t="str">
        <f>Horendonk!A7</f>
        <v>De Backer Jef</v>
      </c>
      <c r="C7" s="32">
        <f>IF(Horendonk!AL7=0," ",SUM(E7:AD7))</f>
        <v>87.306999999999988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8</v>
      </c>
      <c r="B8" s="28" t="str">
        <f>Horendonk!A8</f>
        <v>Herreyers Remy</v>
      </c>
      <c r="C8" s="32">
        <f>IF(Horendonk!AL8=0," ",SUM(E8:AD8))</f>
        <v>64.373999999999995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6</v>
      </c>
      <c r="B9" s="80" t="str">
        <f>Horendonk!A9</f>
        <v>Maas Guy</v>
      </c>
      <c r="C9" s="32">
        <f>IF(Horendonk!AL9=0," ",SUM(E9:AD9))</f>
        <v>48.000000000000007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8</v>
      </c>
      <c r="B10" s="28" t="str">
        <f>Horendonk!A10</f>
        <v xml:space="preserve">Nelen Johan  </v>
      </c>
      <c r="C10" s="32">
        <f>IF(Horendonk!AL10=0," ",SUM(E10:AD10))</f>
        <v>78.665999999999997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8</v>
      </c>
      <c r="B11" s="28" t="str">
        <f>Horendonk!A11</f>
        <v>Oerlemans Willy</v>
      </c>
      <c r="C11" s="32">
        <f>IF(Horendonk!AL11=0," ",SUM(E11:AD11))</f>
        <v>71.430000000000007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10</v>
      </c>
      <c r="B12" s="28" t="str">
        <f>Horendonk!A12</f>
        <v>Siemons Jos</v>
      </c>
      <c r="C12" s="32">
        <f>IF(Horendonk!AL12=0," ",SUM(E12:AD12))</f>
        <v>98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8</v>
      </c>
      <c r="B13" s="28" t="str">
        <f>Horendonk!A13</f>
        <v>Van Aert André</v>
      </c>
      <c r="C13" s="32">
        <f>IF(Horendonk!AL13=0," ",SUM(E13:AD13))</f>
        <v>74.826000000000008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5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5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8</v>
      </c>
      <c r="B15" s="81" t="str">
        <f>Horendonk!A15</f>
        <v xml:space="preserve">Vergouwen René </v>
      </c>
      <c r="C15" s="32">
        <f>IF(Horendonk!AL15=0," ",SUM(E15:AD15))</f>
        <v>76.334000000000003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741.62200000000007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6</v>
      </c>
      <c r="B20" s="28" t="str">
        <f>Kerkuilen!A4</f>
        <v xml:space="preserve">Antonissen Gust      </v>
      </c>
      <c r="C20" s="32">
        <f>IF(Kerkuilen!AL4=0," ",SUM(E20:AD20))</f>
        <v>62.903000000000006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4</v>
      </c>
      <c r="B21" s="28" t="str">
        <f>Kerkuilen!A5</f>
        <v>De Kaey Piet</v>
      </c>
      <c r="C21" s="32">
        <f>IF(Kerkuilen!AL5=0," ",SUM(E21:AD21))</f>
        <v>42.116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3</v>
      </c>
      <c r="B22" s="28" t="str">
        <f>Kerkuilen!A6</f>
        <v>Elst Stan</v>
      </c>
      <c r="C22" s="32">
        <f>IF(Kerkuilen!AL6=0," ",SUM(E22:AD22))</f>
        <v>25.951999999999998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3</v>
      </c>
      <c r="B24" s="28" t="str">
        <f>Kerkuilen!A8</f>
        <v xml:space="preserve">Jacobis Martin </v>
      </c>
      <c r="C24" s="32">
        <f>IF(Kerkuilen!AL8=0," ",SUM(E24:AD24))</f>
        <v>30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7</v>
      </c>
      <c r="B25" s="28" t="str">
        <f>Kerkuilen!A9</f>
        <v>Lambrechts Jef</v>
      </c>
      <c r="C25" s="32">
        <f>IF(Kerkuilen!AL9=0," ",SUM(E25:AD25))</f>
        <v>67.17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6</v>
      </c>
      <c r="B26" s="28" t="str">
        <f>Kerkuilen!A10</f>
        <v>Naulaerts Rik</v>
      </c>
      <c r="C26" s="32">
        <f>IF(Kerkuilen!AL10=0," ",SUM(E26:AD26))</f>
        <v>51.764000000000003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4</v>
      </c>
      <c r="B27" s="28" t="str">
        <f>Kerkuilen!A11</f>
        <v>Peeters Wies</v>
      </c>
      <c r="C27" s="32">
        <f>IF(Kerkuilen!AL11=0," ",SUM(E27:AD27))</f>
        <v>33.571999999999996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10</v>
      </c>
      <c r="B28" s="28" t="str">
        <f>Kerkuilen!A12</f>
        <v>Pleysier Luc</v>
      </c>
      <c r="C28" s="32">
        <f>IF(Kerkuilen!AL12=0," ",SUM(E28:AD28))</f>
        <v>81.334000000000003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7</v>
      </c>
      <c r="B29" s="28" t="str">
        <f>Kerkuilen!A13</f>
        <v xml:space="preserve">Quick Gerard </v>
      </c>
      <c r="C29" s="32">
        <f>IF(Kerkuilen!AL13=0," ",SUM(E29:AD29))</f>
        <v>72.307000000000002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9</v>
      </c>
      <c r="B30" s="80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6</v>
      </c>
      <c r="B31" s="28" t="str">
        <f>Kerkuilen!A15</f>
        <v>Uytdewilligen Hubert</v>
      </c>
      <c r="C31" s="32">
        <f>IF(Kerkuilen!AL15=0," ",SUM(E31:AD31))</f>
        <v>57.575000000000003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4</v>
      </c>
      <c r="B32" s="38" t="str">
        <f>Kerkuilen!A16</f>
        <v>Van Ginneken Cyriel [NS 20]</v>
      </c>
      <c r="C32" s="32">
        <f>IF(Kerkuilen!AL16=0," ",SUM(E32:AD32))</f>
        <v>34</v>
      </c>
      <c r="E32" s="36" t="str">
        <f>IF(Kerkuilen!C16=(""),(""),ROUND(Kerkuilen!C16/Kerkuilen!$B16*10,3))</f>
        <v/>
      </c>
      <c r="F32" s="265">
        <f>IF(Kerkuilen!D16=(""),(""),ROUND(Kerkuilen!D16/20*10,3))</f>
        <v>8</v>
      </c>
      <c r="G32" s="265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5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6</v>
      </c>
      <c r="B33" s="38" t="str">
        <f>Kerkuilen!A17</f>
        <v>Van Oers Danny  [NS 50]</v>
      </c>
      <c r="C33" s="32">
        <f>IF(Kerkuilen!AL17=0," ",SUM(E33:AD33))</f>
        <v>59.853999999999999</v>
      </c>
      <c r="E33" s="36" t="str">
        <f>IF(Kerkuilen!C17=(""),(""),ROUND(Kerkuilen!C17/Kerkuilen!$B17*10,3))</f>
        <v/>
      </c>
      <c r="F33" s="265">
        <f>IF(Kerkuilen!D17=(""),(""),ROUND(Kerkuilen!D17/50*10,3))</f>
        <v>10</v>
      </c>
      <c r="G33" s="265">
        <f>IF(Kerkuilen!E17=(""),(""),ROUND(Kerkuilen!E17/50*10,3))</f>
        <v>9</v>
      </c>
      <c r="H33" s="265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725.95100000000014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9</v>
      </c>
      <c r="B39" s="28" t="str">
        <f>Meeuwen1!A4</f>
        <v>Aerts Adri</v>
      </c>
      <c r="C39" s="32">
        <f>IF(Meeuwen1!AL4=0," ",SUM(E39:AD39))</f>
        <v>91.25200000000001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9</v>
      </c>
      <c r="B40" s="28" t="str">
        <f>Meeuwen1!A5</f>
        <v>Bocken Jean Pierre</v>
      </c>
      <c r="C40" s="32">
        <f>IF(Meeuwen1!AL5=0," ",SUM(E40:AD40))</f>
        <v>64.998000000000005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7</v>
      </c>
      <c r="B41" s="28" t="str">
        <f>Meeuwen1!A6</f>
        <v xml:space="preserve">Bocken Lambert  </v>
      </c>
      <c r="C41" s="32">
        <f>IF(Meeuwen1!AL6=0," ",SUM(E41:AD41))</f>
        <v>62.143000000000001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9</v>
      </c>
      <c r="B42" s="28" t="str">
        <f>Meeuwen1!A7</f>
        <v>Goetschalkx Herman</v>
      </c>
      <c r="C42" s="32">
        <f>IF(Meeuwen1!AL7=0," ",SUM(E42:AD42))</f>
        <v>63.334000000000003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4</v>
      </c>
      <c r="B44" s="28" t="str">
        <f>Meeuwen1!A9</f>
        <v>Meeusen Marc</v>
      </c>
      <c r="C44" s="32">
        <f>IF(Meeuwen1!AL9=0," ",SUM(E44:AD44))</f>
        <v>31.439999999999998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7</v>
      </c>
      <c r="B45" s="28" t="str">
        <f>Meeuwen1!A10</f>
        <v>Van Loon Marc</v>
      </c>
      <c r="C45" s="32">
        <f>IF(Meeuwen1!AL10=0," ",SUM(E45:AD45))</f>
        <v>70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5</v>
      </c>
      <c r="B46" s="28" t="str">
        <f>Meeuwen1!A11</f>
        <v>Van Zoest Teun</v>
      </c>
      <c r="C46" s="32">
        <f>IF(Meeuwen1!AL11=0," ",SUM(E46:AD46))</f>
        <v>42.499000000000002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7</v>
      </c>
      <c r="B47" s="28" t="str">
        <f>Meeuwen1!A12</f>
        <v>Veraart Jos</v>
      </c>
      <c r="C47" s="32">
        <f>IF(Meeuwen1!AL12=0," ",SUM(E47:AD47))</f>
        <v>46.875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8</v>
      </c>
      <c r="B48" s="80" t="str">
        <f>Meeuwen1!A13</f>
        <v>Vossen Filip</v>
      </c>
      <c r="C48" s="32">
        <f>IF(Meeuwen1!AL13=0," ",SUM(E48:AD48))</f>
        <v>89.375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10</v>
      </c>
      <c r="B49" s="38" t="str">
        <f>Meeuwen1!A14</f>
        <v>Vossen Ronny  [NS 20]</v>
      </c>
      <c r="C49" s="32">
        <f>IF(Meeuwen1!AL14=0," ",SUM(E49:AD49))</f>
        <v>79.834000000000003</v>
      </c>
      <c r="E49" s="265">
        <f>IF(Meeuwen1!C14=(""),(""),ROUND(Meeuwen1!C14/20*10,3))</f>
        <v>11</v>
      </c>
      <c r="F49" s="265">
        <f>IF(Meeuwen1!D14=(""),(""),ROUND(Meeuwen1!D14/20*10,3))</f>
        <v>5</v>
      </c>
      <c r="G49" s="265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666.90200000000004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10</v>
      </c>
      <c r="B55" s="28" t="str">
        <f>Meeuwen2!A5</f>
        <v>De Backer Jerome</v>
      </c>
      <c r="C55" s="32">
        <f>IF(Meeuwen2!AL5=0," ",SUM(E55:AD55))</f>
        <v>119.73699999999999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7</v>
      </c>
      <c r="B57" s="28" t="str">
        <f>Meeuwen2!A7</f>
        <v xml:space="preserve">Jacobs Hugo            </v>
      </c>
      <c r="C57" s="32">
        <f>IF(Meeuwen2!AL7=0," ",SUM(E57:AD57))</f>
        <v>67.941000000000003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5</v>
      </c>
      <c r="B58" s="28" t="str">
        <f>Meeuwen2!A8</f>
        <v>Jacobs Willy</v>
      </c>
      <c r="C58" s="32">
        <f>IF(Meeuwen2!AL8=0," ",SUM(E58:AD58))</f>
        <v>40.75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9</v>
      </c>
      <c r="B61" s="28" t="str">
        <f>Meeuwen2!A11</f>
        <v xml:space="preserve">Present Fons </v>
      </c>
      <c r="C61" s="32">
        <f>IF(Meeuwen2!AL11=0," ",SUM(E61:AD61))</f>
        <v>102.72800000000002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4</v>
      </c>
      <c r="B62" s="38" t="str">
        <f>Meeuwen2!A12</f>
        <v>Present Marc [NS 20]</v>
      </c>
      <c r="C62" s="32">
        <f>IF(Meeuwen2!AL12=0," ",SUM(E62:AD62))</f>
        <v>44.864000000000004</v>
      </c>
      <c r="E62" s="265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5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5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8</v>
      </c>
      <c r="B63" s="28" t="str">
        <f>Meeuwen2!A13</f>
        <v>Suykerbuyk Stan</v>
      </c>
      <c r="C63" s="32">
        <f>IF(Meeuwen2!AL13=0," ",SUM(E63:AD63))</f>
        <v>94.545000000000002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9</v>
      </c>
      <c r="B64" s="28" t="str">
        <f>Meeuwen2!A14</f>
        <v xml:space="preserve">Vandersanden Lucien </v>
      </c>
      <c r="C64" s="32">
        <f>IF(Meeuwen2!AL14=0," ",SUM(E64:AD64))</f>
        <v>82.82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6</v>
      </c>
      <c r="B65" s="28" t="str">
        <f>Meeuwen2!A15</f>
        <v>Van Dorst Alfons</v>
      </c>
      <c r="C65" s="32">
        <f>IF(Meeuwen2!AL15=0," ",SUM(E65:AD65))</f>
        <v>63.388999999999996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10</v>
      </c>
      <c r="B66" s="28" t="str">
        <f>Meeuwen2!A16</f>
        <v xml:space="preserve">Van Thillo Sis   </v>
      </c>
      <c r="C66" s="32">
        <f>IF(Meeuwen2!AL16=0," ",SUM(E66:AD66))</f>
        <v>99.064999999999998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796.56099999999992</v>
      </c>
      <c r="D68" s="26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6</v>
      </c>
      <c r="B71" s="28" t="str">
        <f>Molenheike!A4</f>
        <v xml:space="preserve">Brauns Martin    </v>
      </c>
      <c r="C71" s="32">
        <f>IF(Molenheike!AL4=0," ",SUM(E71:AD71))</f>
        <v>55.789000000000001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9</v>
      </c>
      <c r="B72" s="28" t="str">
        <f>Molenheike!A5</f>
        <v>Brosens Luc</v>
      </c>
      <c r="C72" s="32">
        <f>IF(Molenheike!AL5=0," ",SUM(E72:AD72))</f>
        <v>86.896999999999991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10</v>
      </c>
      <c r="B73" s="80" t="str">
        <f>Molenheike!A6</f>
        <v>Dhooghe Jan</v>
      </c>
      <c r="C73" s="32">
        <f>IF(Molenheike!AL6=0," ",SUM(E73:AD73))</f>
        <v>102.593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9</v>
      </c>
      <c r="B74" s="28" t="str">
        <f>Molenheike!A7</f>
        <v>Keuppens Marc</v>
      </c>
      <c r="C74" s="32">
        <f>IF(Molenheike!AL7=0," ",SUM(E74:AD74))</f>
        <v>105.001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8</v>
      </c>
      <c r="B75" s="28" t="str">
        <f>Molenheike!A8</f>
        <v>Lambrechts Ferdy</v>
      </c>
      <c r="C75" s="32">
        <f>IF(Molenheike!AL8=0," ",SUM(E75:AD75))</f>
        <v>79.056999999999988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7</v>
      </c>
      <c r="B76" s="28" t="str">
        <f>Molenheike!A9</f>
        <v>Nelen Marc</v>
      </c>
      <c r="C76" s="32">
        <f>IF(Molenheike!AL9=0," ",SUM(E76:AD76))</f>
        <v>61.25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11</v>
      </c>
      <c r="B78" s="28" t="str">
        <f>Molenheike!A11</f>
        <v>Van Ginderen Jef</v>
      </c>
      <c r="C78" s="32">
        <f>IF(Molenheike!AL11=0," ",SUM(E78:AD78))</f>
        <v>120.37100000000001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10</v>
      </c>
      <c r="B79" s="28" t="str">
        <f>Molenheike!A12</f>
        <v>Van Ginderen Willy</v>
      </c>
      <c r="C79" s="32">
        <f>IF(Molenheike!AL12=0," ",SUM(E79:AD79))</f>
        <v>97.02600000000001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786.73399999999992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B83" s="31" t="s">
        <v>27</v>
      </c>
      <c r="E83" s="27">
        <v>1</v>
      </c>
      <c r="F83" s="27">
        <v>2</v>
      </c>
      <c r="G83" s="27">
        <v>3</v>
      </c>
      <c r="H83" s="26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12</v>
      </c>
      <c r="B84" s="28" t="str">
        <f>Nispen!A4</f>
        <v>Bastiaensen Jan</v>
      </c>
      <c r="C84" s="32">
        <f>IF(Nispen!AL4=0," ",SUM(E84:AD84))</f>
        <v>122.90199999999999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9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9</v>
      </c>
      <c r="B85" s="28" t="str">
        <f>Nispen!A5</f>
        <v>Botermans Jan</v>
      </c>
      <c r="C85" s="32">
        <f>IF(Nispen!AL5=0," ",SUM(E85:AD85))</f>
        <v>72.917000000000002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9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12</v>
      </c>
      <c r="B86" s="28" t="str">
        <f>Nispen!A6</f>
        <v>Brouwers Vic</v>
      </c>
      <c r="C86" s="32">
        <f>IF(Nispen!AL6=0," ",SUM(E86:AD86))</f>
        <v>131.911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6</v>
      </c>
      <c r="B87" s="80" t="str">
        <f>Nispen!A7</f>
        <v>Cappaert Ivan</v>
      </c>
      <c r="C87" s="32">
        <f>IF(Nispen!AL7=0," ",SUM(E87:AD87))</f>
        <v>60.856999999999999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8</v>
      </c>
      <c r="B88" s="28" t="str">
        <f>Nispen!A8</f>
        <v xml:space="preserve">Kerstens Jac     </v>
      </c>
      <c r="C88" s="32">
        <f>IF(Nispen!AL8=0," ",SUM(E88:AD88))</f>
        <v>70.856999999999999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9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9">
        <f>IF(Nispen!L8=(""),(""),ROUND(Nispen!L8/Nispen!$B8*10,3))</f>
        <v>12.856999999999999</v>
      </c>
      <c r="O88" s="269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4</v>
      </c>
      <c r="B89" s="38" t="str">
        <f>Nispen!A9</f>
        <v>Klijn Toon [NS 20]</v>
      </c>
      <c r="C89" s="32">
        <f>IF(Nispen!AL9=0," ",SUM(E89:AD89))</f>
        <v>40.5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5">
        <f>IF(Nispen!E9=(""),(""),ROUND(Nispen!E9/20*10,3))</f>
        <v>12</v>
      </c>
      <c r="H89" s="265">
        <f>IF(Nispen!F9=(""),(""),ROUND(Nispen!F9/20*10,3))</f>
        <v>11</v>
      </c>
      <c r="I89" s="36" t="str">
        <f>IF(Nispen!G9=(""),(""),ROUND(Nispen!G9/Nispen!$B9*10,3))</f>
        <v/>
      </c>
      <c r="J89" s="265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11</v>
      </c>
      <c r="B90" s="34" t="str">
        <f>Nispen!A10</f>
        <v>Martens Gerrit [OS]</v>
      </c>
      <c r="C90" s="32">
        <f>IF(Nispen!AL10=0," ",SUM(E90:AD90))</f>
        <v>115.33199999999999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9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6</v>
      </c>
      <c r="B92" s="28" t="str">
        <f>Nispen!A12</f>
        <v xml:space="preserve">Raats Antoon </v>
      </c>
      <c r="C92" s="32">
        <f>IF(Nispen!AL12=0," ",SUM(E92:AD92))</f>
        <v>51.579999999999991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8</v>
      </c>
      <c r="B93" s="28" t="str">
        <f>Nispen!A13</f>
        <v>Uijdehaag Nico</v>
      </c>
      <c r="C93" s="32">
        <f>IF(Nispen!AL13=0," ",SUM(E93:AD93))</f>
        <v>79.564999999999998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9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5" t="s">
        <v>291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765.46900000000005</v>
      </c>
      <c r="D95" s="215" t="s">
        <v>291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7</v>
      </c>
      <c r="B98" s="28" t="str">
        <f>Oudeglorie!A4</f>
        <v xml:space="preserve">Aerden Carl  </v>
      </c>
      <c r="C98" s="32">
        <f>IF(Oudeglorie!AL4=0," ",SUM(E98:AD98))</f>
        <v>87.501000000000005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5</v>
      </c>
      <c r="B99" s="28" t="str">
        <f>Oudeglorie!A5</f>
        <v xml:space="preserve">Beyers Jos    </v>
      </c>
      <c r="C99" s="32">
        <f>IF(Oudeglorie!AL5=0," ",SUM(E99:AD99))</f>
        <v>57.407999999999994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8</v>
      </c>
      <c r="B101" s="28" t="str">
        <f>Oudeglorie!A7</f>
        <v>Braat Guido</v>
      </c>
      <c r="C101" s="32">
        <f>IF(Oudeglorie!AL7=0," ",SUM(E101:AD101))</f>
        <v>84.826999999999998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7</v>
      </c>
      <c r="B103" s="28" t="str">
        <f>Oudeglorie!A9</f>
        <v>Gommers Jac</v>
      </c>
      <c r="C103" s="32">
        <f>IF(Oudeglorie!AL9=0," ",SUM(E103:AD103))</f>
        <v>71.111999999999995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6</v>
      </c>
      <c r="B104" s="28" t="str">
        <f>Oudeglorie!A10</f>
        <v>Jacobs Alfons</v>
      </c>
      <c r="C104" s="32">
        <f>IF(Oudeglorie!AL10=0," ",SUM(E104:AD104))</f>
        <v>45.356999999999999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5</v>
      </c>
      <c r="B105" s="28" t="str">
        <f>Oudeglorie!A11</f>
        <v>Jacobs Frans</v>
      </c>
      <c r="C105" s="32">
        <f>IF(Oudeglorie!AL11=0," ",SUM(E105:AD105))</f>
        <v>50.805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5</v>
      </c>
      <c r="B106" s="28" t="str">
        <f>Oudeglorie!A12</f>
        <v>Nelen Frans</v>
      </c>
      <c r="C106" s="32">
        <f>IF(Oudeglorie!AL12=0," ",SUM(E106:AD106))</f>
        <v>55.6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5</v>
      </c>
      <c r="B107" s="38" t="str">
        <f>Oudeglorie!A13</f>
        <v>Nelen Jef  [NS 25]</v>
      </c>
      <c r="C107" s="32">
        <f>IF(Oudeglorie!AL13=0," ",SUM(E107:AD107))</f>
        <v>50.030999999999992</v>
      </c>
      <c r="E107" s="265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5">
        <f>IF(Oudeglorie!J13=(""),(""),ROUND(Oudeglorie!J13/25*10,3))</f>
        <v>8</v>
      </c>
      <c r="M107" s="265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7</v>
      </c>
      <c r="B108" s="28" t="str">
        <f>Oudeglorie!A14</f>
        <v xml:space="preserve">Somers Ludo </v>
      </c>
      <c r="C108" s="32">
        <f>IF(Oudeglorie!AL14=0," ",SUM(E108:AD108))</f>
        <v>58.823999999999998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7</v>
      </c>
      <c r="B109" s="28" t="str">
        <f>Oudeglorie!A15</f>
        <v xml:space="preserve">Van Ginderen Ludo </v>
      </c>
      <c r="C109" s="32">
        <f>IF(Oudeglorie!AL15=0," ",SUM(E109:AD109))</f>
        <v>70.587999999999994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6</v>
      </c>
      <c r="B111" s="28" t="str">
        <f>Oudeglorie!A17</f>
        <v>Willemsen Willy</v>
      </c>
      <c r="C111" s="32">
        <f>IF(Oudeglorie!AL17=0," ",SUM(E111:AD111))</f>
        <v>70.271000000000001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792.56899999999973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6</v>
      </c>
      <c r="B117" s="28" t="str">
        <f>Meeuwkes!A5</f>
        <v>Buggenhout Danny</v>
      </c>
      <c r="C117" s="32">
        <f>IF(Meeuwkes!AL5=0," ",SUM(E117:AD117))</f>
        <v>54.878999999999998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5</v>
      </c>
      <c r="B118" s="28" t="str">
        <f>Meeuwkes!A6</f>
        <v>Deckx Achiel</v>
      </c>
      <c r="C118" s="32">
        <f>IF(Meeuwkes!AL6=0," ",SUM(E118:AD118))</f>
        <v>52.105000000000004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11</v>
      </c>
      <c r="B119" s="28" t="str">
        <f>Meeuwkes!A7</f>
        <v>Herreygers Leon</v>
      </c>
      <c r="C119" s="32">
        <f>IF(Meeuwkes!AL7=0," ",SUM(E119:AD119))</f>
        <v>126.4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8</v>
      </c>
      <c r="B120" s="28" t="str">
        <f>Meeuwkes!A8</f>
        <v>Loos Piet</v>
      </c>
      <c r="C120" s="32">
        <f>IF(Meeuwkes!AL8=0," ",SUM(E120:AD120))</f>
        <v>57.334000000000003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8</v>
      </c>
      <c r="B121" s="80" t="str">
        <f>Meeuwkes!A9</f>
        <v xml:space="preserve">Quick Louis </v>
      </c>
      <c r="C121" s="32">
        <f>IF(Meeuwkes!AL9=0," ",SUM(E121:AD121))</f>
        <v>85.899000000000001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5</v>
      </c>
      <c r="B122" s="28" t="str">
        <f>Meeuwkes!A10</f>
        <v>Reyssens Martin</v>
      </c>
      <c r="C122" s="32">
        <f>IF(Meeuwkes!AL10=0," ",SUM(E122:AD122))</f>
        <v>50.87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8</v>
      </c>
      <c r="B123" s="28" t="str">
        <f>Meeuwkes!A11</f>
        <v xml:space="preserve">Schenk André </v>
      </c>
      <c r="C123" s="32">
        <f>IF(Meeuwkes!AL11=0," ",SUM(E123:AD123))</f>
        <v>102.65700000000001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7</v>
      </c>
      <c r="B125" s="28" t="str">
        <f>Meeuwkes!A13</f>
        <v xml:space="preserve">De Roomer Jan    </v>
      </c>
      <c r="C125" s="32">
        <f>IF(Meeuwkes!AL13=0," ",SUM(E125:AD125))</f>
        <v>62.593999999999994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4</v>
      </c>
      <c r="B126" s="28" t="str">
        <f>Meeuwkes!A14</f>
        <v>Van Hees Eduard</v>
      </c>
      <c r="C126" s="32">
        <f>IF(Meeuwkes!AL14=0," ",SUM(E126:AD126))</f>
        <v>33.667000000000002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8</v>
      </c>
      <c r="B127" s="28" t="str">
        <f>Meeuwkes!A15</f>
        <v xml:space="preserve">Schenk Stanny  </v>
      </c>
      <c r="C127" s="32">
        <f>IF(Meeuwkes!AL15=0," ",SUM(E127:AD127))</f>
        <v>73.75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797.62600000000009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9</v>
      </c>
      <c r="B132" s="28" t="str">
        <f>Rooiebal1!A4</f>
        <v>Aerts Jan</v>
      </c>
      <c r="C132" s="32">
        <f>IF(Rooiebal1!AL4=0," ",SUM(E132:AD132))</f>
        <v>94.738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10</v>
      </c>
      <c r="B133" s="28" t="str">
        <f>Rooiebal1!A5</f>
        <v xml:space="preserve">Dictus Peter       </v>
      </c>
      <c r="C133" s="32">
        <f>IF(Rooiebal1!AL5=0," ",SUM(E133:AD133))</f>
        <v>80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6</v>
      </c>
      <c r="B134" s="80" t="str">
        <f>Rooiebal1!A6</f>
        <v xml:space="preserve">Hereygers Cis     </v>
      </c>
      <c r="C134" s="32">
        <f>IF(Rooiebal1!AL6=0," ",SUM(E134:AD134))</f>
        <v>48.823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7</v>
      </c>
      <c r="B135" s="28" t="str">
        <f>Rooiebal1!A7</f>
        <v xml:space="preserve">Karremans Dries  </v>
      </c>
      <c r="C135" s="32">
        <f>IF(Rooiebal1!AL7=0," ",SUM(E135:AD135))</f>
        <v>77.082999999999998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7</v>
      </c>
      <c r="B136" s="28" t="str">
        <f>Rooiebal1!A8</f>
        <v xml:space="preserve">Nelen Ronny       </v>
      </c>
      <c r="C136" s="32">
        <f>IF(Rooiebal1!AL8=0," ",SUM(E136:AD136))</f>
        <v>63.333999999999996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9</v>
      </c>
      <c r="B137" s="28" t="str">
        <f>Rooiebal1!A9</f>
        <v>Raeymakers Liliane</v>
      </c>
      <c r="C137" s="32">
        <f>IF(Rooiebal1!AL9=0," ",SUM(E137:AD137))</f>
        <v>90.478000000000009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8</v>
      </c>
      <c r="B139" s="81" t="str">
        <f>Rooiebal1!A11</f>
        <v>Van Hooydonck René</v>
      </c>
      <c r="C139" s="32">
        <f>IF(Rooiebal1!AL11=0," ",SUM(E139:AD139))</f>
        <v>59.629999999999995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11</v>
      </c>
      <c r="B140" s="81" t="str">
        <f>Rooiebal1!A12</f>
        <v>Van Oers Theo</v>
      </c>
      <c r="C140" s="32">
        <f>IF(Rooiebal1!AL12=0," ",SUM(E140:AD140))</f>
        <v>96.766000000000005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9</v>
      </c>
      <c r="B141" s="28" t="str">
        <f>Rooiebal1!A13</f>
        <v>Vergouwen Willy</v>
      </c>
      <c r="C141" s="32">
        <f>IF(Rooiebal1!AL13=0," ",SUM(E141:AD141))</f>
        <v>72.572000000000003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712.11899999999991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5</v>
      </c>
      <c r="B146" s="128" t="str">
        <f>Rooiebal2!A4</f>
        <v xml:space="preserve">Costermans Leo   </v>
      </c>
      <c r="C146" s="32">
        <f>IF(Rooiebal2!AL4=0," ",SUM(E146:AD146))</f>
        <v>54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7</v>
      </c>
      <c r="B147" s="128" t="str">
        <f>Rooiebal2!A5</f>
        <v>Dictus Fred</v>
      </c>
      <c r="C147" s="32">
        <f>IF(Rooiebal2!AL5=0," ",SUM(E147:AD147))</f>
        <v>65.763000000000005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9</v>
      </c>
      <c r="B148" s="128" t="str">
        <f>Rooiebal2!A6</f>
        <v xml:space="preserve">Donckers Johnny </v>
      </c>
      <c r="C148" s="32">
        <f>IF(Rooiebal2!AL6=0," ",SUM(E148:AD148))</f>
        <v>118.8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8</v>
      </c>
      <c r="B149" s="128" t="str">
        <f>Rooiebal2!A7</f>
        <v>Goossen Winnie</v>
      </c>
      <c r="C149" s="32">
        <f>IF(Rooiebal2!AL7=0," ",SUM(E149:AD149))</f>
        <v>84.516000000000005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7</v>
      </c>
      <c r="B150" s="129" t="str">
        <f>Rooiebal2!A8</f>
        <v>Lodewijckx Willy</v>
      </c>
      <c r="C150" s="32">
        <f>IF(Rooiebal2!AL8=0," ",SUM(E150:AD150))</f>
        <v>74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5</v>
      </c>
      <c r="B151" s="128" t="str">
        <f>Rooiebal2!A9</f>
        <v xml:space="preserve">Mathyssen Guy  </v>
      </c>
      <c r="C151" s="32">
        <f>IF(Rooiebal2!AL9=0," ",SUM(E151:AD151))</f>
        <v>35.587000000000003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8</v>
      </c>
      <c r="B152" s="128" t="str">
        <f>Rooiebal2!A10</f>
        <v>Ossenblok Ed</v>
      </c>
      <c r="C152" s="32">
        <f>IF(Rooiebal2!AL10=0," ",SUM(E152:AD152))</f>
        <v>74.286000000000001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7</v>
      </c>
      <c r="B153" s="128" t="str">
        <f>Rooiebal2!A11</f>
        <v>Suykerbuyk Cis</v>
      </c>
      <c r="C153" s="32">
        <f>IF(Rooiebal2!AL11=0," ",SUM(E153:AD153))</f>
        <v>57.335000000000001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7</v>
      </c>
      <c r="B154" s="128" t="str">
        <f>Rooiebal2!A12</f>
        <v>Swinnen Michel</v>
      </c>
      <c r="C154" s="32">
        <f>IF(Rooiebal2!AL12=0," ",SUM(E154:AD154))</f>
        <v>77.105000000000004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8</v>
      </c>
      <c r="B155" s="128" t="str">
        <f>Rooiebal2!A13</f>
        <v>Veraart Swa</v>
      </c>
      <c r="C155" s="32">
        <f>IF(Rooiebal2!AL13=0," ",SUM(E155:AD155))</f>
        <v>84.167000000000002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7</v>
      </c>
      <c r="B156" s="210" t="str">
        <f>Rooiebal2!A14</f>
        <v>Konings Kamiel [NS 20]</v>
      </c>
      <c r="C156" s="32">
        <f>IF(Rooiebal2!AL14=0," ",SUM(E156:AD156))</f>
        <v>39.334000000000003</v>
      </c>
      <c r="E156" s="36" t="str">
        <f>IF(Rooiebal2!C14=(""),(""),ROUND(Rooiebal2!C14/Rooiebal2!$B14*10,3))</f>
        <v/>
      </c>
      <c r="F156" s="265">
        <f>IF(Rooiebal2!D14=(""),(""),ROUND(Rooiebal2!D14/20*10,3))</f>
        <v>7</v>
      </c>
      <c r="G156" s="36" t="str">
        <f>IF(Rooiebal2!E14=(""),(""),ROUND(Rooiebal2!E14/Rooiebal2!$B14*10,3))</f>
        <v/>
      </c>
      <c r="H156" s="265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5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764.89300000000003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9</v>
      </c>
      <c r="B161" s="28" t="str">
        <f>Putte!A4</f>
        <v xml:space="preserve">Anthonissen Paul </v>
      </c>
      <c r="C161" s="32">
        <f>IF(Putte!AL4=0," ",SUM(E161:AD161))</f>
        <v>95.527000000000001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7</v>
      </c>
      <c r="B162" s="81" t="str">
        <f>Putte!A5</f>
        <v>De Beukelaer Freddy</v>
      </c>
      <c r="C162" s="32">
        <f>IF(Putte!AL5=0," ",SUM(E162:AD162))</f>
        <v>66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9</v>
      </c>
      <c r="B163" s="81" t="str">
        <f>Putte!A6</f>
        <v>Evers Henri</v>
      </c>
      <c r="C163" s="32">
        <f>IF(Putte!AL6=0," ",SUM(E163:AD163))</f>
        <v>72.667000000000002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10</v>
      </c>
      <c r="B164" s="28" t="str">
        <f>Putte!A7</f>
        <v xml:space="preserve">Palinckx Fons </v>
      </c>
      <c r="C164" s="32">
        <f>IF(Putte!AL7=0," ",SUM(E164:AD164))</f>
        <v>93.417999999999992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11</v>
      </c>
      <c r="B166" s="28" t="str">
        <f>Putte!A9</f>
        <v xml:space="preserve">Plompen Dirk </v>
      </c>
      <c r="C166" s="32">
        <f>IF(Putte!AL9=0," ",SUM(E166:AD166))</f>
        <v>130.81199999999998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6</v>
      </c>
      <c r="B167" s="28" t="str">
        <f>Putte!A10</f>
        <v xml:space="preserve">Schaeken Pierre </v>
      </c>
      <c r="C167" s="32">
        <f>IF(Putte!AL10=0," ",SUM(E167:AD167))</f>
        <v>73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8</v>
      </c>
      <c r="B170" s="28" t="str">
        <f>Putte!A13</f>
        <v>Verelst Gilbert</v>
      </c>
      <c r="C170" s="32">
        <f>IF(Putte!AL13=0," ",SUM(E170:AD170))</f>
        <v>87.917000000000002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5</v>
      </c>
      <c r="B171" s="28" t="str">
        <f>Putte!A14</f>
        <v>Wolfcarius Jaques</v>
      </c>
      <c r="C171" s="32">
        <f>IF(Putte!AL14=0," ",SUM(E171:AD171))</f>
        <v>51.363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7</v>
      </c>
      <c r="B172" s="28" t="str">
        <f>Putte!A15</f>
        <v xml:space="preserve">Eyckmans Luc   </v>
      </c>
      <c r="C172" s="32">
        <f>IF(Putte!AL15=0," ",SUM(E172:AD172))</f>
        <v>69.566000000000003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5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>
        <f t="shared" si="135"/>
        <v>72.176999999999992</v>
      </c>
      <c r="L173" s="36">
        <f t="shared" si="135"/>
        <v>61.198999999999998</v>
      </c>
      <c r="M173" s="36">
        <f t="shared" si="135"/>
        <v>71.329000000000008</v>
      </c>
      <c r="N173" s="36">
        <f t="shared" si="135"/>
        <v>59.75</v>
      </c>
      <c r="O173" s="36">
        <f t="shared" si="135"/>
        <v>60.125</v>
      </c>
      <c r="P173" s="36">
        <f t="shared" si="135"/>
        <v>65.843999999999994</v>
      </c>
      <c r="Q173" s="36">
        <f t="shared" si="135"/>
        <v>54.387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814.81500000000005</v>
      </c>
      <c r="D174" s="223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>
        <f t="shared" si="136"/>
        <v>442.18100000000004</v>
      </c>
      <c r="L174" s="40">
        <f t="shared" si="136"/>
        <v>503.38000000000005</v>
      </c>
      <c r="M174" s="40">
        <f t="shared" si="136"/>
        <v>574.70900000000006</v>
      </c>
      <c r="N174" s="40">
        <f t="shared" si="136"/>
        <v>634.45900000000006</v>
      </c>
      <c r="O174" s="40">
        <f t="shared" si="136"/>
        <v>694.58400000000006</v>
      </c>
      <c r="P174" s="40">
        <f t="shared" si="136"/>
        <v>760.42800000000011</v>
      </c>
      <c r="Q174" s="40">
        <f t="shared" si="136"/>
        <v>814.81500000000005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4</v>
      </c>
      <c r="B177" s="28" t="str">
        <f>Wildert1!A4</f>
        <v>Adriaansen Jan</v>
      </c>
      <c r="C177" s="32">
        <f>IF(Wildert1!AL4=0," ",SUM(E177:AD177))</f>
        <v>30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>
        <f>IF(Wildert1!M4=(""),(""),ROUND(Wildert1!M4/Wildert1!$B4*10,3))</f>
        <v>8.8239999999999998</v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7</v>
      </c>
      <c r="B178" s="28" t="str">
        <f>Wildert1!A5</f>
        <v>Brouwers Adri</v>
      </c>
      <c r="C178" s="32">
        <f>IF(Wildert1!AL5=0," ",SUM(E178:AD178))</f>
        <v>62.631999999999998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>
        <f>IF(Wildert1!J5=(""),(""),ROUND(Wildert1!J5/Wildert1!$B5*10,3))</f>
        <v>15</v>
      </c>
      <c r="M178" s="36">
        <f>IF(Wildert1!K5=(""),(""),ROUND(Wildert1!K5/Wildert1!$B5*10,3))</f>
        <v>8.1579999999999995</v>
      </c>
      <c r="N178" s="36">
        <f>IF(Wildert1!L5=(""),(""),ROUND(Wildert1!L5/Wildert1!$B5*10,3))</f>
        <v>7.6319999999999997</v>
      </c>
      <c r="O178" s="36">
        <f>IF(Wildert1!M5=(""),(""),ROUND(Wildert1!M5/Wildert1!$B5*10,3))</f>
        <v>7.3680000000000003</v>
      </c>
      <c r="P178" s="36" t="str">
        <f>IF(Wildert1!N5=(""),(""),ROUND(Wildert1!N5/Wildert1!$B5*10,3))</f>
        <v/>
      </c>
      <c r="Q178" s="36">
        <f>IF(Wildert1!O5=(""),(""),ROUND(Wildert1!O5/Wildert1!$B5*10,3))</f>
        <v>6.5789999999999997</v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9</v>
      </c>
      <c r="B179" s="38" t="str">
        <f>Wildert1!A6</f>
        <v>Buijk Jan  [NS 55]</v>
      </c>
      <c r="C179" s="32">
        <f>IF(Wildert1!AL6=0," ",SUM(E179:AD179))</f>
        <v>96.862000000000009</v>
      </c>
      <c r="E179" s="265">
        <f>IF(Wildert1!C6=(""),(""),ROUND(Wildert1!C6/55*10,3))</f>
        <v>10.727</v>
      </c>
      <c r="F179" s="265">
        <f>IF(Wildert1!D6=(""),(""),ROUND(Wildert1!D6/55*10,3))</f>
        <v>8.5449999999999999</v>
      </c>
      <c r="G179" s="265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>
        <f>IF(Wildert1!I6=(""),(""),ROUND(Wildert1!I6/Wildert1!$B6*10,3))</f>
        <v>14.63</v>
      </c>
      <c r="L179" s="36">
        <f>IF(Wildert1!J6=(""),(""),ROUND(Wildert1!J6/Wildert1!$B6*10,3))</f>
        <v>6.8520000000000003</v>
      </c>
      <c r="M179" s="36" t="str">
        <f>IF(Wildert1!K6=(""),(""),ROUND(Wildert1!K6/Wildert1!$B6*10,3))</f>
        <v/>
      </c>
      <c r="N179" s="36">
        <f>IF(Wildert1!L6=(""),(""),ROUND(Wildert1!L6/Wildert1!$B6*10,3))</f>
        <v>12.593</v>
      </c>
      <c r="O179" s="36" t="str">
        <f>IF(Wildert1!M6=(""),(""),ROUND(Wildert1!M6/Wildert1!$B6*10,3))</f>
        <v/>
      </c>
      <c r="P179" s="36">
        <f>IF(Wildert1!N6=(""),(""),ROUND(Wildert1!N6/Wildert1!$B6*10,3))</f>
        <v>7.0369999999999999</v>
      </c>
      <c r="Q179" s="36">
        <f>IF(Wildert1!O6=(""),(""),ROUND(Wildert1!O6/Wildert1!$B6*10,3))</f>
        <v>10.185</v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4</v>
      </c>
      <c r="B180" s="81" t="str">
        <f>Wildert1!A7</f>
        <v>Denissens Frans</v>
      </c>
      <c r="C180" s="32">
        <f>IF(Wildert1!AL7=0," ",SUM(E180:AD180))</f>
        <v>36.001000000000005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>
        <f>IF(Wildert1!J7=(""),(""),ROUND(Wildert1!J7/Wildert1!$B7*10,3))</f>
        <v>6.6669999999999998</v>
      </c>
      <c r="M180" s="36">
        <f>IF(Wildert1!K7=(""),(""),ROUND(Wildert1!K7/Wildert1!$B7*10,3))</f>
        <v>6.6669999999999998</v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7</v>
      </c>
      <c r="B181" s="80" t="str">
        <f>Wildert1!A8</f>
        <v>Dries Louis</v>
      </c>
      <c r="C181" s="32">
        <f>IF(Wildert1!AL8=0," ",SUM(E181:AD181))</f>
        <v>69.37700000000001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>
        <f>IF(Wildert1!I8=(""),(""),ROUND(Wildert1!I8/Wildert1!$B8*10,3))</f>
        <v>17.5</v>
      </c>
      <c r="L181" s="36">
        <f>IF(Wildert1!J8=(""),(""),ROUND(Wildert1!J8/Wildert1!$B8*10,3))</f>
        <v>10.938000000000001</v>
      </c>
      <c r="M181" s="36">
        <f>IF(Wildert1!K8=(""),(""),ROUND(Wildert1!K8/Wildert1!$B8*10,3))</f>
        <v>7.1879999999999997</v>
      </c>
      <c r="N181" s="36" t="str">
        <f>IF(Wildert1!L8=(""),(""),ROUND(Wildert1!L8/Wildert1!$B8*10,3))</f>
        <v/>
      </c>
      <c r="O181" s="36">
        <f>IF(Wildert1!M8=(""),(""),ROUND(Wildert1!M8/Wildert1!$B8*10,3))</f>
        <v>6.25</v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4</v>
      </c>
      <c r="B182" s="28" t="str">
        <f>Wildert1!A9</f>
        <v>Kerstens Marc</v>
      </c>
      <c r="C182" s="32">
        <f>IF(Wildert1!AL9=0," ",SUM(E182:AD182))</f>
        <v>53.158000000000001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>
        <f>IF(Wildert1!L9=(""),(""),ROUND(Wildert1!L9/Wildert1!$B9*10,3))</f>
        <v>16.841999999999999</v>
      </c>
      <c r="O182" s="36" t="str">
        <f>IF(Wildert1!M9=(""),(""),ROUND(Wildert1!M9/Wildert1!$B9*10,3))</f>
        <v/>
      </c>
      <c r="P182" s="36">
        <f>IF(Wildert1!N9=(""),(""),ROUND(Wildert1!N9/Wildert1!$B9*10,3))</f>
        <v>11.053000000000001</v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4</v>
      </c>
      <c r="B183" s="28" t="str">
        <f>Wildert1!A10</f>
        <v>Kerstens Ronald</v>
      </c>
      <c r="C183" s="32">
        <f>IF(Wildert1!AL10=0," ",SUM(E183:AD183))</f>
        <v>39.048000000000002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>
        <f>IF(Wildert1!N10=(""),(""),ROUND(Wildert1!N10/Wildert1!$B10*10,3))</f>
        <v>13.81</v>
      </c>
      <c r="Q183" s="36">
        <f>IF(Wildert1!O10=(""),(""),ROUND(Wildert1!O10/Wildert1!$B10*10,3))</f>
        <v>6.6669999999999998</v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6</v>
      </c>
      <c r="B184" s="28" t="str">
        <f>Wildert1!A11</f>
        <v xml:space="preserve">Konings Guido </v>
      </c>
      <c r="C184" s="32">
        <f>IF(Wildert1!AL11=0," ",SUM(E184:AD184))</f>
        <v>82.084000000000003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>
        <f>IF(Wildert1!I11=(""),(""),ROUND(Wildert1!I11/Wildert1!$B11*10,3))</f>
        <v>12.917</v>
      </c>
      <c r="L184" s="36">
        <f>IF(Wildert1!J11=(""),(""),ROUND(Wildert1!J11/Wildert1!$B11*10,3))</f>
        <v>20</v>
      </c>
      <c r="M184" s="36">
        <f>IF(Wildert1!K11=(""),(""),ROUND(Wildert1!K11/Wildert1!$B11*10,3))</f>
        <v>14.167</v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>
        <f>IF(Wildert1!O11=(""),(""),ROUND(Wildert1!O11/Wildert1!$B11*10,3))</f>
        <v>13.75</v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7</v>
      </c>
      <c r="B185" s="28" t="str">
        <f>Wildert1!A12</f>
        <v xml:space="preserve">Kustermans Toon </v>
      </c>
      <c r="C185" s="32">
        <f>IF(Wildert1!AL12=0," ",SUM(E185:AD185))</f>
        <v>64.209999999999994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>
        <f>IF(Wildert1!I12=(""),(""),ROUND(Wildert1!I12/Wildert1!$B12*10,3))</f>
        <v>7.8949999999999996</v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>
        <f>IF(Wildert1!L12=(""),(""),ROUND(Wildert1!L12/Wildert1!$B12*10,3))</f>
        <v>7.6319999999999997</v>
      </c>
      <c r="O185" s="36" t="str">
        <f>IF(Wildert1!M12=(""),(""),ROUND(Wildert1!M12/Wildert1!$B12*10,3))</f>
        <v/>
      </c>
      <c r="P185" s="36">
        <f>IF(Wildert1!N12=(""),(""),ROUND(Wildert1!N12/Wildert1!$B12*10,3))</f>
        <v>8.9469999999999992</v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7</v>
      </c>
      <c r="B186" s="28" t="str">
        <f>Wildert1!A13</f>
        <v xml:space="preserve">Sarra-Ribo Jef      </v>
      </c>
      <c r="C186" s="32">
        <f>IF(Wildert1!AL13=0," ",SUM(E186:AD186))</f>
        <v>65.795000000000002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>
        <f>IF(Wildert1!K13=(""),(""),ROUND(Wildert1!K13/Wildert1!$B13*10,3))</f>
        <v>6.3639999999999999</v>
      </c>
      <c r="N186" s="36">
        <f>IF(Wildert1!L13=(""),(""),ROUND(Wildert1!L13/Wildert1!$B13*10,3))</f>
        <v>9.2050000000000001</v>
      </c>
      <c r="O186" s="36">
        <f>IF(Wildert1!M13=(""),(""),ROUND(Wildert1!M13/Wildert1!$B13*10,3))</f>
        <v>7.3860000000000001</v>
      </c>
      <c r="P186" s="36" t="str">
        <f>IF(Wildert1!N13=(""),(""),ROUND(Wildert1!N13/Wildert1!$B13*10,3))</f>
        <v/>
      </c>
      <c r="Q186" s="36">
        <f>IF(Wildert1!O13=(""),(""),ROUND(Wildert1!O13/Wildert1!$B13*10,3))</f>
        <v>6.5910000000000002</v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6</v>
      </c>
      <c r="B187" s="28" t="str">
        <f>Wildert1!A14</f>
        <v>Sas Ronny</v>
      </c>
      <c r="C187" s="32">
        <f>IF(Wildert1!AL14=0," ",SUM(E187:AD187))</f>
        <v>55.332999999999998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>
        <f>IF(Wildert1!I14=(""),(""),ROUND(Wildert1!I14/Wildert1!$B14*10,3))</f>
        <v>9.3330000000000002</v>
      </c>
      <c r="L187" s="36">
        <f>IF(Wildert1!J14=(""),(""),ROUND(Wildert1!J14/Wildert1!$B14*10,3))</f>
        <v>11.333</v>
      </c>
      <c r="M187" s="36" t="str">
        <f>IF(Wildert1!K14=(""),(""),ROUND(Wildert1!K14/Wildert1!$B14*10,3))</f>
        <v/>
      </c>
      <c r="N187" s="36">
        <f>IF(Wildert1!L14=(""),(""),ROUND(Wildert1!L14/Wildert1!$B14*10,3))</f>
        <v>12.667</v>
      </c>
      <c r="O187" s="36">
        <f>IF(Wildert1!M14=(""),(""),ROUND(Wildert1!M14/Wildert1!$B14*10,3))</f>
        <v>6.6669999999999998</v>
      </c>
      <c r="P187" s="36">
        <f>IF(Wildert1!N14=(""),(""),ROUND(Wildert1!N14/Wildert1!$B14*10,3))</f>
        <v>5.3330000000000002</v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9</v>
      </c>
      <c r="B188" s="28" t="str">
        <f>Wildert1!A15</f>
        <v>Thijs Jef</v>
      </c>
      <c r="C188" s="32">
        <f>IF(Wildert1!AL15=0," ",SUM(E188:AD188))</f>
        <v>90.953000000000003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>
        <f>IF(Wildert1!I15=(""),(""),ROUND(Wildert1!I15/Wildert1!$B15*10,3))</f>
        <v>10.476000000000001</v>
      </c>
      <c r="L188" s="36" t="str">
        <f>IF(Wildert1!J15=(""),(""),ROUND(Wildert1!J15/Wildert1!$B15*10,3))</f>
        <v/>
      </c>
      <c r="M188" s="36">
        <f>IF(Wildert1!K15=(""),(""),ROUND(Wildert1!K15/Wildert1!$B15*10,3))</f>
        <v>7.1429999999999998</v>
      </c>
      <c r="N188" s="36" t="str">
        <f>IF(Wildert1!L15=(""),(""),ROUND(Wildert1!L15/Wildert1!$B15*10,3))</f>
        <v/>
      </c>
      <c r="O188" s="36">
        <f>IF(Wildert1!M15=(""),(""),ROUND(Wildert1!M15/Wildert1!$B15*10,3))</f>
        <v>5.7140000000000004</v>
      </c>
      <c r="P188" s="36" t="str">
        <f>IF(Wildert1!N15=(""),(""),ROUND(Wildert1!N15/Wildert1!$B15*10,3))</f>
        <v/>
      </c>
      <c r="Q188" s="36">
        <f>IF(Wildert1!O15=(""),(""),ROUND(Wildert1!O15/Wildert1!$B15*10,3))</f>
        <v>11.904999999999999</v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4</v>
      </c>
      <c r="B189" s="38" t="str">
        <f>Wildert1!A16</f>
        <v xml:space="preserve">Wetzer Rik [NS 20] </v>
      </c>
      <c r="C189" s="32">
        <f>IF(Wildert1!AL16=0," ",SUM(E189:AD189))</f>
        <v>27.667000000000002</v>
      </c>
      <c r="E189" s="36" t="str">
        <f>IF(Wildert1!C16=(""),(""),ROUND(Wildert1!C16/Wildert1!$B16*10,3))</f>
        <v/>
      </c>
      <c r="F189" s="265">
        <f>IF(Wildert1!D16=(""),(""),ROUND(Wildert1!D16/20*10,3))</f>
        <v>4</v>
      </c>
      <c r="G189" s="36" t="str">
        <f>IF(Wildert1!E16=(""),(""),ROUND(Wildert1!E16/Wildert1!$B16*10,3))</f>
        <v/>
      </c>
      <c r="H189" s="265">
        <f>IF(Wildert1!F16=(""),(""),ROUND(Wildert1!F16/20*10,3))</f>
        <v>8.5</v>
      </c>
      <c r="I189" s="36" t="str">
        <f>IF(Wildert1!G16=(""),(""),ROUND(Wildert1!G16/Wildert1!$B16*10,3))</f>
        <v/>
      </c>
      <c r="J189" s="265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>
        <f>IF(Wildert1!N16=(""),(""),ROUND(Wildert1!N16/Wildert1!$B16*10,3))</f>
        <v>10.667</v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6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>
        <f t="shared" si="139"/>
        <v>72.751000000000005</v>
      </c>
      <c r="L190" s="36">
        <f t="shared" si="139"/>
        <v>70.790000000000006</v>
      </c>
      <c r="M190" s="36">
        <f t="shared" si="139"/>
        <v>49.686999999999998</v>
      </c>
      <c r="N190" s="36">
        <f t="shared" si="139"/>
        <v>66.570999999999998</v>
      </c>
      <c r="O190" s="36">
        <f t="shared" si="139"/>
        <v>42.208999999999996</v>
      </c>
      <c r="P190" s="36">
        <f t="shared" si="139"/>
        <v>56.846999999999994</v>
      </c>
      <c r="Q190" s="36">
        <f t="shared" si="139"/>
        <v>55.677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773.12</v>
      </c>
      <c r="D191" s="223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>
        <f t="shared" si="140"/>
        <v>431.33899999999994</v>
      </c>
      <c r="L191" s="40">
        <f t="shared" si="140"/>
        <v>502.12899999999996</v>
      </c>
      <c r="M191" s="40">
        <f t="shared" si="140"/>
        <v>551.81599999999992</v>
      </c>
      <c r="N191" s="40">
        <f>IF(N190=(" "),(" "),M191+N190)</f>
        <v>618.38699999999994</v>
      </c>
      <c r="O191" s="40">
        <f t="shared" si="140"/>
        <v>660.59599999999989</v>
      </c>
      <c r="P191" s="40">
        <f t="shared" si="140"/>
        <v>717.44299999999987</v>
      </c>
      <c r="Q191" s="40">
        <f t="shared" si="140"/>
        <v>773.11999999999989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2</v>
      </c>
      <c r="B194" s="28" t="str">
        <f>Wildert2!A4</f>
        <v xml:space="preserve">Aernouts Johan  </v>
      </c>
      <c r="C194" s="32">
        <f>IF(Wildert2!AL4=0," ",SUM(E194:AD194))</f>
        <v>23.256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>
        <f>IF(Wildert2!N4=(""),(""),ROUND(Wildert2!N4/Wildert2!$B4*10,3))</f>
        <v>14.419</v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11</v>
      </c>
      <c r="B195" s="81" t="str">
        <f>Wildert2!A5</f>
        <v>Eestermans René</v>
      </c>
      <c r="C195" s="32">
        <f>IF(Wildert2!AL5=0," ",SUM(E195:AD195))</f>
        <v>116.428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69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68">
        <f>IF(Wildert2!H5=(""),(""),ROUND(Wildert2!H5/Wildert2!$B5*10,3))</f>
        <v>11.071</v>
      </c>
      <c r="K195" s="36">
        <f>IF(Wildert2!I5=(""),(""),ROUND(Wildert2!I5/Wildert2!$B5*10,3))</f>
        <v>5.3570000000000002</v>
      </c>
      <c r="L195" s="36">
        <f>IF(Wildert2!J5=(""),(""),ROUND(Wildert2!J5/Wildert2!$B5*10,3))</f>
        <v>7.1429999999999998</v>
      </c>
      <c r="M195" s="36">
        <f>IF(Wildert2!K5=(""),(""),ROUND(Wildert2!K5/Wildert2!$B5*10,3))</f>
        <v>14.643000000000001</v>
      </c>
      <c r="N195" s="36">
        <f>IF(Wildert2!L5=(""),(""),ROUND(Wildert2!L5/Wildert2!$B5*10,3))</f>
        <v>8.5709999999999997</v>
      </c>
      <c r="O195" s="36">
        <f>IF(Wildert2!M5=(""),(""),ROUND(Wildert2!M5/Wildert2!$B5*10,3))</f>
        <v>12.143000000000001</v>
      </c>
      <c r="P195" s="36">
        <f>IF(Wildert2!N5=(""),(""),ROUND(Wildert2!N5/Wildert2!$B5*10,3))</f>
        <v>6.7859999999999996</v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11</v>
      </c>
      <c r="B196" s="28" t="str">
        <f>Wildert2!A6</f>
        <v xml:space="preserve">Eijckholt Adrie              </v>
      </c>
      <c r="C196" s="32">
        <f>IF(Wildert2!AL6=0," ",SUM(E196:AD196))</f>
        <v>105.23899999999999</v>
      </c>
      <c r="E196" s="36">
        <f>IF(Wildert2!C6=(""),(""),ROUND(Wildert2!C6/Wildert2!$B6*10,3))</f>
        <v>9.048</v>
      </c>
      <c r="F196" s="269">
        <f>IF(Wildert2!D6=(""),(""),ROUND(Wildert2!D6/Wildert2!$B6*10,3))</f>
        <v>11.667</v>
      </c>
      <c r="G196" s="269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68">
        <f>IF(Wildert2!H6=(""),(""),ROUND(Wildert2!H6/Wildert2!$B6*10,3))</f>
        <v>10.476000000000001</v>
      </c>
      <c r="K196" s="36">
        <f>IF(Wildert2!I6=(""),(""),ROUND(Wildert2!I6/Wildert2!$B6*10,3))</f>
        <v>5.2380000000000004</v>
      </c>
      <c r="L196" s="36">
        <f>IF(Wildert2!J6=(""),(""),ROUND(Wildert2!J6/Wildert2!$B6*10,3))</f>
        <v>11.667</v>
      </c>
      <c r="M196" s="36" t="str">
        <f>IF(Wildert2!K6=(""),(""),ROUND(Wildert2!K6/Wildert2!$B6*10,3))</f>
        <v/>
      </c>
      <c r="N196" s="36">
        <f>IF(Wildert2!L6=(""),(""),ROUND(Wildert2!L6/Wildert2!$B6*10,3))</f>
        <v>8.81</v>
      </c>
      <c r="O196" s="36">
        <f>IF(Wildert2!M6=(""),(""),ROUND(Wildert2!M6/Wildert2!$B6*10,3))</f>
        <v>10.238</v>
      </c>
      <c r="P196" s="36" t="str">
        <f>IF(Wildert2!N6=(""),(""),ROUND(Wildert2!N6/Wildert2!$B6*10,3))</f>
        <v/>
      </c>
      <c r="Q196" s="36">
        <f>IF(Wildert2!O6=(""),(""),ROUND(Wildert2!O6/Wildert2!$B6*10,3))</f>
        <v>13.333</v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12</v>
      </c>
      <c r="B197" s="81" t="str">
        <f>Wildert2!A7</f>
        <v xml:space="preserve">Francken Robert </v>
      </c>
      <c r="C197" s="93">
        <f>IF(Wildert2!AL7=0," ",SUM(E197:AD197))</f>
        <v>149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68">
        <f>IF(Wildert2!H7=(""),(""),ROUND(Wildert2!H7/Wildert2!$B7*10,3))</f>
        <v>16.25</v>
      </c>
      <c r="K197" s="268">
        <f>IF(Wildert2!I7=(""),(""),ROUND(Wildert2!I7/Wildert2!$B7*10,3))</f>
        <v>13</v>
      </c>
      <c r="L197" s="36">
        <f>IF(Wildert2!J7=(""),(""),ROUND(Wildert2!J7/Wildert2!$B7*10,3))</f>
        <v>10</v>
      </c>
      <c r="M197" s="36">
        <f>IF(Wildert2!K7=(""),(""),ROUND(Wildert2!K7/Wildert2!$B7*10,3))</f>
        <v>10</v>
      </c>
      <c r="N197" s="36">
        <f>IF(Wildert2!L7=(""),(""),ROUND(Wildert2!L7/Wildert2!$B7*10,3))</f>
        <v>13.25</v>
      </c>
      <c r="O197" s="36">
        <f>IF(Wildert2!M7=(""),(""),ROUND(Wildert2!M7/Wildert2!$B7*10,3))</f>
        <v>10.75</v>
      </c>
      <c r="P197" s="36">
        <f>IF(Wildert2!N7=(""),(""),ROUND(Wildert2!N7/Wildert2!$B7*10,3))</f>
        <v>16.75</v>
      </c>
      <c r="Q197" s="36">
        <f>IF(Wildert2!O7=(""),(""),ROUND(Wildert2!O7/Wildert2!$B7*10,3))</f>
        <v>14</v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5</v>
      </c>
      <c r="B198" s="81" t="str">
        <f>Wildert2!A8</f>
        <v xml:space="preserve">Leys Herman </v>
      </c>
      <c r="C198" s="32">
        <f>IF(Wildert2!AL8=0," ",SUM(E198:AD198))</f>
        <v>65.313000000000002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>
        <f>IF(Wildert2!I8=(""),(""),ROUND(Wildert2!I8/Wildert2!$B8*10,3))</f>
        <v>8.75</v>
      </c>
      <c r="L198" s="36" t="str">
        <f>IF(Wildert2!J8=(""),(""),ROUND(Wildert2!J8/Wildert2!$B8*10,3))</f>
        <v/>
      </c>
      <c r="M198" s="36">
        <f>IF(Wildert2!K8=(""),(""),ROUND(Wildert2!K8/Wildert2!$B8*10,3))</f>
        <v>16.562999999999999</v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>
        <f>IF(Wildert2!O8=(""),(""),ROUND(Wildert2!O8/Wildert2!$B8*10,3))</f>
        <v>15</v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5</v>
      </c>
      <c r="B200" s="210" t="str">
        <f>Wildert2!A10</f>
        <v>Peeters Hugo [NS 36]</v>
      </c>
      <c r="C200" s="32">
        <f>IF(Wildert2!AL10=0," ",SUM(E200:AD200))</f>
        <v>51.60199999999999</v>
      </c>
      <c r="E200" s="265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265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265">
        <f>IF(Wildert2!I10=(""),(""),ROUND(Wildert2!I10/36*10,3))</f>
        <v>15</v>
      </c>
      <c r="L200" s="36">
        <f>IF(Wildert2!J10=(""),(""),ROUND(Wildert2!J10/Wildert2!$B10*10,3))</f>
        <v>11.395</v>
      </c>
      <c r="M200" s="36" t="str">
        <f>IF(Wildert2!K10=(""),(""),ROUND(Wildert2!K10/Wildert2!$B10*10,3))</f>
        <v/>
      </c>
      <c r="N200" s="36">
        <f>IF(Wildert2!L10=(""),(""),ROUND(Wildert2!L10/Wildert2!$B10*10,3))</f>
        <v>4.6509999999999998</v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9</v>
      </c>
      <c r="B201" s="38" t="str">
        <f>Wildert2!A11</f>
        <v xml:space="preserve">Scholtis Vic  [NS 49] </v>
      </c>
      <c r="C201" s="32">
        <f>IF(Wildert2!AL11=0," ",SUM(E201:AD201))</f>
        <v>102.57300000000001</v>
      </c>
      <c r="E201" s="36" t="str">
        <f>IF(Wildert2!C11=(""),(""),ROUND(Wildert2!C11/Wildert2!$B11*10,3))</f>
        <v/>
      </c>
      <c r="F201" s="265">
        <f>IF(Wildert2!D11=(""),(""),ROUND(Wildert2!D11/49*10,3))</f>
        <v>4.8979999999999997</v>
      </c>
      <c r="G201" s="36" t="str">
        <f>IF(Wildert2!E11=(""),(""),ROUND(Wildert2!E11/Wildert2!$B11*10,3))</f>
        <v/>
      </c>
      <c r="H201" s="265">
        <f>IF(Wildert2!F11=(""),(""),ROUND(Wildert2!F11/49*10,3))</f>
        <v>10</v>
      </c>
      <c r="I201" s="265">
        <f>IF(Wildert2!G11=(""),(""),ROUND(Wildert2!G11/49*10,3))</f>
        <v>6.5309999999999997</v>
      </c>
      <c r="J201" s="268">
        <f>IF(Wildert2!H11=(""),(""),ROUND(Wildert2!H11/Wildert2!$B11*10,3))</f>
        <v>19.428999999999998</v>
      </c>
      <c r="K201" s="36">
        <f>IF(Wildert2!I11=(""),(""),ROUND(Wildert2!I11/Wildert2!$B11*10,3))</f>
        <v>11.429</v>
      </c>
      <c r="L201" s="36" t="str">
        <f>IF(Wildert2!J11=(""),(""),ROUND(Wildert2!J11/Wildert2!$B11*10,3))</f>
        <v/>
      </c>
      <c r="M201" s="36">
        <f>IF(Wildert2!K11=(""),(""),ROUND(Wildert2!K11/Wildert2!$B11*10,3))</f>
        <v>11.429</v>
      </c>
      <c r="N201" s="36">
        <f>IF(Wildert2!L11=(""),(""),ROUND(Wildert2!L11/Wildert2!$B11*10,3))</f>
        <v>6.8570000000000002</v>
      </c>
      <c r="O201" s="36" t="str">
        <f>IF(Wildert2!M11=(""),(""),ROUND(Wildert2!M11/Wildert2!$B11*10,3))</f>
        <v/>
      </c>
      <c r="P201" s="36">
        <f>IF(Wildert2!N11=(""),(""),ROUND(Wildert2!N11/Wildert2!$B11*10,3))</f>
        <v>17.713999999999999</v>
      </c>
      <c r="Q201" s="36">
        <f>IF(Wildert2!O11=(""),(""),ROUND(Wildert2!O11/Wildert2!$B11*10,3))</f>
        <v>14.286</v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2</v>
      </c>
      <c r="B202" s="80" t="str">
        <f>Wildert2!A12</f>
        <v>Van Den Bergh Jacky</v>
      </c>
      <c r="C202" s="32">
        <f>IF(Wildert2!AL12=0," ",SUM(E202:AD202))</f>
        <v>30.55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>
        <f>IF(Wildert2!M12=(""),(""),ROUND(Wildert2!M12/Wildert2!$B12*10,3))</f>
        <v>17.431000000000001</v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10</v>
      </c>
      <c r="B203" s="28" t="str">
        <f>Wildert2!A13</f>
        <v xml:space="preserve">Van Ginneken Ludo </v>
      </c>
      <c r="C203" s="32">
        <f>IF(Wildert2!AL13=0," ",SUM(E203:AD203))</f>
        <v>108.88800000000001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69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68">
        <f>IF(Wildert2!H13=(""),(""),ROUND(Wildert2!H13/Wildert2!$B13*10,3))</f>
        <v>15.333</v>
      </c>
      <c r="K203" s="36">
        <f>IF(Wildert2!I13=(""),(""),ROUND(Wildert2!I13/Wildert2!$B13*10,3))</f>
        <v>8.6669999999999998</v>
      </c>
      <c r="L203" s="36">
        <f>IF(Wildert2!J13=(""),(""),ROUND(Wildert2!J13/Wildert2!$B13*10,3))</f>
        <v>11.111000000000001</v>
      </c>
      <c r="M203" s="36">
        <f>IF(Wildert2!K13=(""),(""),ROUND(Wildert2!K13/Wildert2!$B13*10,3))</f>
        <v>11.778</v>
      </c>
      <c r="N203" s="36">
        <f>IF(Wildert2!L13=(""),(""),ROUND(Wildert2!L13/Wildert2!$B13*10,3))</f>
        <v>6.444</v>
      </c>
      <c r="O203" s="36">
        <f>IF(Wildert2!M13=(""),(""),ROUND(Wildert2!M13/Wildert2!$B13*10,3))</f>
        <v>8.6669999999999998</v>
      </c>
      <c r="P203" s="36">
        <f>IF(Wildert2!N13=(""),(""),ROUND(Wildert2!N13/Wildert2!$B13*10,3))</f>
        <v>9.3330000000000002</v>
      </c>
      <c r="Q203" s="36">
        <f>IF(Wildert2!O13=(""),(""),ROUND(Wildert2!O13/Wildert2!$B13*10,3))</f>
        <v>10.444000000000001</v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8</v>
      </c>
      <c r="B204" s="28" t="str">
        <f>Wildert2!A14</f>
        <v>Van Hooydonck Swa</v>
      </c>
      <c r="C204" s="32">
        <f>IF(Wildert2!AL14=0," ",SUM(E204:AD204))</f>
        <v>76.856999999999999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69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>
        <f>IF(Wildert2!J14=(""),(""),ROUND(Wildert2!J14/Wildert2!$B14*10,3))</f>
        <v>6.5709999999999997</v>
      </c>
      <c r="M204" s="36">
        <f>IF(Wildert2!K14=(""),(""),ROUND(Wildert2!K14/Wildert2!$B14*10,3))</f>
        <v>9.1430000000000007</v>
      </c>
      <c r="N204" s="36" t="str">
        <f>IF(Wildert2!L14=(""),(""),ROUND(Wildert2!L14/Wildert2!$B14*10,3))</f>
        <v/>
      </c>
      <c r="O204" s="36">
        <f>IF(Wildert2!M14=(""),(""),ROUND(Wildert2!M14/Wildert2!$B14*10,3))</f>
        <v>10</v>
      </c>
      <c r="P204" s="36" t="str">
        <f>IF(Wildert2!N14=(""),(""),ROUND(Wildert2!N14/Wildert2!$B14*10,3))</f>
        <v/>
      </c>
      <c r="Q204" s="36">
        <f>IF(Wildert2!O14=(""),(""),ROUND(Wildert2!O14/Wildert2!$B14*10,3))</f>
        <v>15.143000000000001</v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3</v>
      </c>
      <c r="B205" s="28" t="str">
        <f>Wildert2!A15</f>
        <v>Wiericx Herman</v>
      </c>
      <c r="C205" s="32">
        <f>IF(Wildert2!AL15=0," ",SUM(E205:AD205))</f>
        <v>35.200000000000003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69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>
        <f>IF(Wildert2!N15=(""),(""),ROUND(Wildert2!N15/Wildert2!$B15*10,3))</f>
        <v>10.4</v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6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54.441000000000003</v>
      </c>
      <c r="L206" s="36">
        <f t="shared" si="143"/>
        <v>57.887</v>
      </c>
      <c r="M206" s="36">
        <f t="shared" si="143"/>
        <v>73.556000000000012</v>
      </c>
      <c r="N206" s="36">
        <f t="shared" si="143"/>
        <v>48.582999999999998</v>
      </c>
      <c r="O206" s="36">
        <f t="shared" si="143"/>
        <v>69.228999999999999</v>
      </c>
      <c r="P206" s="36">
        <f t="shared" si="143"/>
        <v>75.402000000000001</v>
      </c>
      <c r="Q206" s="36">
        <f t="shared" si="143"/>
        <v>82.206000000000003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864.90599999999995</v>
      </c>
      <c r="D207" s="258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458.04300000000001</v>
      </c>
      <c r="L207" s="40">
        <f t="shared" si="144"/>
        <v>515.93000000000006</v>
      </c>
      <c r="M207" s="40">
        <f t="shared" si="144"/>
        <v>589.4860000000001</v>
      </c>
      <c r="N207" s="40">
        <f t="shared" si="144"/>
        <v>638.06900000000007</v>
      </c>
      <c r="O207" s="40">
        <f t="shared" si="144"/>
        <v>707.29800000000012</v>
      </c>
      <c r="P207" s="40">
        <f t="shared" si="144"/>
        <v>782.70000000000016</v>
      </c>
      <c r="Q207" s="40">
        <f t="shared" si="144"/>
        <v>864.90600000000018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296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7</v>
      </c>
      <c r="B210" s="28" t="str">
        <f>DeBeek!A4</f>
        <v xml:space="preserve">Bergmans Armand </v>
      </c>
      <c r="C210" s="32">
        <f>IF(DeBeek!AL4=0," ",SUM(E210:AD210))</f>
        <v>69.31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>
        <f>IF(DeBeek!I4=(""),(""),ROUND(DeBeek!I4/DeBeek!$B4*10,3))</f>
        <v>10</v>
      </c>
      <c r="L210" s="36">
        <f>IF(DeBeek!J4=(""),(""),ROUND(DeBeek!J4/DeBeek!$B4*10,3))</f>
        <v>9.31</v>
      </c>
      <c r="M210" s="36">
        <f>IF(DeBeek!K4=(""),(""),ROUND(DeBeek!K4/DeBeek!$B4*10,3))</f>
        <v>12.759</v>
      </c>
      <c r="N210" s="36" t="str">
        <f>IF(DeBeek!L4=(""),(""),ROUND(DeBeek!L4/DeBeek!$B4*10,3))</f>
        <v/>
      </c>
      <c r="O210" s="36">
        <f>IF(DeBeek!M4=(""),(""),ROUND(DeBeek!M4/DeBeek!$B4*10,3))</f>
        <v>11.034000000000001</v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7</v>
      </c>
      <c r="B211" s="80" t="str">
        <f>DeBeek!A5</f>
        <v>Beyers Armand</v>
      </c>
      <c r="C211" s="32">
        <f>IF(DeBeek!AL5=0," ",SUM(E211:AD211))</f>
        <v>85.278000000000006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>
        <f>IF(DeBeek!M5=(""),(""),ROUND(DeBeek!M5/DeBeek!$B5*10,3))</f>
        <v>8.6110000000000007</v>
      </c>
      <c r="P211" s="36">
        <f>IF(DeBeek!N5=(""),(""),ROUND(DeBeek!N5/DeBeek!$B5*10,3))</f>
        <v>15</v>
      </c>
      <c r="Q211" s="36">
        <f>IF(DeBeek!O5=(""),(""),ROUND(DeBeek!O5/DeBeek!$B5*10,3))</f>
        <v>10.278</v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9</v>
      </c>
      <c r="B212" s="81" t="str">
        <f>DeBeek!A6</f>
        <v xml:space="preserve">Beyers Roger </v>
      </c>
      <c r="C212" s="32">
        <f>IF(DeBeek!AL6=0," ",SUM(E212:AD212))</f>
        <v>81.521999999999991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>
        <f>IF(DeBeek!I6=(""),(""),ROUND(DeBeek!I6/DeBeek!$B6*10,3))</f>
        <v>10.651999999999999</v>
      </c>
      <c r="L212" s="36">
        <f>IF(DeBeek!J6=(""),(""),ROUND(DeBeek!J6/DeBeek!$B6*10,3))</f>
        <v>11.087</v>
      </c>
      <c r="M212" s="36">
        <f>IF(DeBeek!K6=(""),(""),ROUND(DeBeek!K6/DeBeek!$B6*10,3))</f>
        <v>6.7389999999999999</v>
      </c>
      <c r="N212" s="36">
        <f>IF(DeBeek!L6=(""),(""),ROUND(DeBeek!L6/DeBeek!$B6*10,3))</f>
        <v>7.609</v>
      </c>
      <c r="O212" s="36">
        <f>IF(DeBeek!M6=(""),(""),ROUND(DeBeek!M6/DeBeek!$B6*10,3))</f>
        <v>11.304</v>
      </c>
      <c r="P212" s="36" t="str">
        <f>IF(DeBeek!N6=(""),(""),ROUND(DeBeek!N6/DeBeek!$B6*10,3))</f>
        <v/>
      </c>
      <c r="Q212" s="36">
        <f>IF(DeBeek!O6=(""),(""),ROUND(DeBeek!O6/DeBeek!$B6*10,3))</f>
        <v>12.609</v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7</v>
      </c>
      <c r="B213" s="28" t="str">
        <f>DeBeek!A7</f>
        <v xml:space="preserve">Binnemans Rene </v>
      </c>
      <c r="C213" s="32">
        <f>IF(DeBeek!AL7=0," ",SUM(E213:AD213))</f>
        <v>76.06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>
        <f>IF(DeBeek!K7=(""),(""),ROUND(DeBeek!K7/DeBeek!$B7*10,3))</f>
        <v>7.8789999999999996</v>
      </c>
      <c r="N213" s="36">
        <f>IF(DeBeek!L7=(""),(""),ROUND(DeBeek!L7/DeBeek!$B7*10,3))</f>
        <v>10.606</v>
      </c>
      <c r="O213" s="36" t="str">
        <f>IF(DeBeek!M7=(""),(""),ROUND(DeBeek!M7/DeBeek!$B7*10,3))</f>
        <v/>
      </c>
      <c r="P213" s="36">
        <f>IF(DeBeek!N7=(""),(""),ROUND(DeBeek!N7/DeBeek!$B7*10,3))</f>
        <v>13.333</v>
      </c>
      <c r="Q213" s="36">
        <f>IF(DeBeek!O7=(""),(""),ROUND(DeBeek!O7/DeBeek!$B7*10,3))</f>
        <v>13.635999999999999</v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9</v>
      </c>
      <c r="B214" s="81" t="str">
        <f>DeBeek!A8</f>
        <v>De Crom Ludo</v>
      </c>
      <c r="C214" s="32">
        <f>IF(DeBeek!AL8=0," ",SUM(E214:AD214))</f>
        <v>70.001000000000005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>
        <f>IF(DeBeek!J8=(""),(""),ROUND(DeBeek!J8/DeBeek!$B8*10,3))</f>
        <v>4.1669999999999998</v>
      </c>
      <c r="M214" s="36">
        <f>IF(DeBeek!K8=(""),(""),ROUND(DeBeek!K8/DeBeek!$B8*10,3))</f>
        <v>2.5</v>
      </c>
      <c r="N214" s="36">
        <f>IF(DeBeek!L8=(""),(""),ROUND(DeBeek!L8/DeBeek!$B8*10,3))</f>
        <v>5</v>
      </c>
      <c r="O214" s="36">
        <f>IF(DeBeek!M8=(""),(""),ROUND(DeBeek!M8/DeBeek!$B8*10,3))</f>
        <v>17.082999999999998</v>
      </c>
      <c r="P214" s="36" t="str">
        <f>IF(DeBeek!N8=(""),(""),ROUND(DeBeek!N8/DeBeek!$B8*10,3))</f>
        <v/>
      </c>
      <c r="Q214" s="36">
        <f>IF(DeBeek!O8=(""),(""),ROUND(DeBeek!O8/DeBeek!$B8*10,3))</f>
        <v>6.6669999999999998</v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8</v>
      </c>
      <c r="B215" s="176" t="str">
        <f>DeBeek!A9</f>
        <v>Geysen Louis</v>
      </c>
      <c r="C215" s="32">
        <f>IF(DeBeek!AL9=0," ",SUM(E215:AD215))</f>
        <v>74.349000000000004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>
        <f>IF(DeBeek!I9=(""),(""),ROUND(DeBeek!I9/DeBeek!$B9*10,3))</f>
        <v>12.609</v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>
        <f>IF(DeBeek!L9=(""),(""),ROUND(DeBeek!L9/DeBeek!$B9*10,3))</f>
        <v>6.5220000000000002</v>
      </c>
      <c r="O215" s="36" t="str">
        <f>IF(DeBeek!M9=(""),(""),ROUND(DeBeek!M9/DeBeek!$B9*10,3))</f>
        <v/>
      </c>
      <c r="P215" s="36">
        <f>IF(DeBeek!N9=(""),(""),ROUND(DeBeek!N9/DeBeek!$B9*10,3))</f>
        <v>10</v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8</v>
      </c>
      <c r="B216" s="81" t="str">
        <f>DeBeek!A10</f>
        <v xml:space="preserve">Heyndrickx Alfons   </v>
      </c>
      <c r="C216" s="32">
        <f>IF(DeBeek!AL10=0," ",SUM(E216:AD216))</f>
        <v>94.230999999999995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>
        <f>IF(DeBeek!I10=(""),(""),ROUND(DeBeek!I10/DeBeek!$B10*10,3))</f>
        <v>11.923</v>
      </c>
      <c r="L216" s="36">
        <f>IF(DeBeek!J10=(""),(""),ROUND(DeBeek!J10/DeBeek!$B10*10,3))</f>
        <v>9.2309999999999999</v>
      </c>
      <c r="M216" s="36" t="str">
        <f>IF(DeBeek!K10=(""),(""),ROUND(DeBeek!K10/DeBeek!$B10*10,3))</f>
        <v/>
      </c>
      <c r="N216" s="36">
        <f>IF(DeBeek!L10=(""),(""),ROUND(DeBeek!L10/DeBeek!$B10*10,3))</f>
        <v>18.077000000000002</v>
      </c>
      <c r="O216" s="36" t="str">
        <f>IF(DeBeek!M10=(""),(""),ROUND(DeBeek!M10/DeBeek!$B10*10,3))</f>
        <v/>
      </c>
      <c r="P216" s="36">
        <f>IF(DeBeek!N10=(""),(""),ROUND(DeBeek!N10/DeBeek!$B10*10,3))</f>
        <v>11.538</v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7</v>
      </c>
      <c r="B217" s="28" t="str">
        <f>DeBeek!A11</f>
        <v xml:space="preserve">Van Looveren Dirk </v>
      </c>
      <c r="C217" s="32">
        <f>IF(DeBeek!AL11=0," ",SUM(E217:AD217))</f>
        <v>62.045000000000002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>
        <f>IF(DeBeek!I11=(""),(""),ROUND(DeBeek!I11/DeBeek!$B11*10,3))</f>
        <v>10.227</v>
      </c>
      <c r="L217" s="36">
        <f>IF(DeBeek!J11=(""),(""),ROUND(DeBeek!J11/DeBeek!$B11*10,3))</f>
        <v>2.9550000000000001</v>
      </c>
      <c r="M217" s="36">
        <f>IF(DeBeek!K11=(""),(""),ROUND(DeBeek!K11/DeBeek!$B11*10,3))</f>
        <v>13.635999999999999</v>
      </c>
      <c r="N217" s="36">
        <f>IF(DeBeek!L11=(""),(""),ROUND(DeBeek!L11/DeBeek!$B11*10,3))</f>
        <v>7.0449999999999999</v>
      </c>
      <c r="O217" s="36">
        <f>IF(DeBeek!M11=(""),(""),ROUND(DeBeek!M11/DeBeek!$B11*10,3))</f>
        <v>8.1820000000000004</v>
      </c>
      <c r="P217" s="36" t="str">
        <f>IF(DeBeek!N11=(""),(""),ROUND(DeBeek!N11/DeBeek!$B11*10,3))</f>
        <v/>
      </c>
      <c r="Q217" s="36">
        <f>IF(DeBeek!O11=(""),(""),ROUND(DeBeek!O11/DeBeek!$B11*10,3))</f>
        <v>13.182</v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9</v>
      </c>
      <c r="B218" s="28" t="str">
        <f>DeBeek!A12</f>
        <v>Van Wesenbeeck Marcel</v>
      </c>
      <c r="C218" s="32">
        <f>IF(DeBeek!AL12=0," ",SUM(E218:AD218))</f>
        <v>87.498999999999995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>
        <f>IF(DeBeek!K12=(""),(""),ROUND(DeBeek!K12/DeBeek!$B12*10,3))</f>
        <v>11.071</v>
      </c>
      <c r="N218" s="36" t="str">
        <f>IF(DeBeek!L12=(""),(""),ROUND(DeBeek!L12/DeBeek!$B12*10,3))</f>
        <v/>
      </c>
      <c r="O218" s="36">
        <f>IF(DeBeek!M12=(""),(""),ROUND(DeBeek!M12/DeBeek!$B12*10,3))</f>
        <v>9.2859999999999996</v>
      </c>
      <c r="P218" s="36">
        <f>IF(DeBeek!N12=(""),(""),ROUND(DeBeek!N12/DeBeek!$B12*10,3))</f>
        <v>13.214</v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7</v>
      </c>
      <c r="B219" s="28" t="str">
        <f>DeBeek!A13</f>
        <v xml:space="preserve">Verhulst Adri     </v>
      </c>
      <c r="C219" s="32">
        <f>IF(DeBeek!AL13=0," ",SUM(E219:AD219))</f>
        <v>65.589000000000013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>
        <f>IF(DeBeek!I13=(""),(""),ROUND(DeBeek!I13/DeBeek!$B13*10,3))</f>
        <v>10.882</v>
      </c>
      <c r="L219" s="36">
        <f>IF(DeBeek!J13=(""),(""),ROUND(DeBeek!J13/DeBeek!$B13*10,3))</f>
        <v>9.7059999999999995</v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>
        <f>IF(DeBeek!N13=(""),(""),ROUND(DeBeek!N13/DeBeek!$B13*10,3))</f>
        <v>11.471</v>
      </c>
      <c r="Q219" s="36">
        <f>IF(DeBeek!O13=(""),(""),ROUND(DeBeek!O13/DeBeek!$B13*10,3))</f>
        <v>7.6470000000000002</v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6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>
        <f t="shared" si="146"/>
        <v>66.293000000000006</v>
      </c>
      <c r="L221" s="36">
        <f t="shared" si="146"/>
        <v>46.456000000000003</v>
      </c>
      <c r="M221" s="36">
        <f t="shared" si="146"/>
        <v>54.584000000000003</v>
      </c>
      <c r="N221" s="36">
        <f t="shared" si="146"/>
        <v>54.859000000000009</v>
      </c>
      <c r="O221" s="36">
        <f t="shared" si="146"/>
        <v>65.5</v>
      </c>
      <c r="P221" s="36">
        <f t="shared" si="146"/>
        <v>74.555999999999997</v>
      </c>
      <c r="Q221" s="36">
        <f t="shared" si="146"/>
        <v>64.019000000000005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765.88400000000001</v>
      </c>
      <c r="D222" s="223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>
        <f t="shared" si="147"/>
        <v>405.90999999999997</v>
      </c>
      <c r="L222" s="40">
        <f t="shared" si="147"/>
        <v>452.36599999999999</v>
      </c>
      <c r="M222" s="40">
        <f t="shared" si="147"/>
        <v>506.95</v>
      </c>
      <c r="N222" s="40">
        <f t="shared" si="147"/>
        <v>561.80899999999997</v>
      </c>
      <c r="O222" s="40">
        <f t="shared" si="147"/>
        <v>627.30899999999997</v>
      </c>
      <c r="P222" s="40">
        <f t="shared" si="147"/>
        <v>701.86500000000001</v>
      </c>
      <c r="Q222" s="40">
        <f t="shared" si="147"/>
        <v>765.88400000000001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tabSelected="1" zoomScale="115" zoomScaleNormal="115" workbookViewId="0">
      <selection activeCell="F92" sqref="F92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7" t="s">
        <v>287</v>
      </c>
      <c r="B1" s="287"/>
      <c r="C1" s="287"/>
      <c r="D1" s="287"/>
      <c r="E1" s="213" t="s">
        <v>335</v>
      </c>
    </row>
    <row r="2" spans="1:5" ht="21" customHeight="1" x14ac:dyDescent="0.3">
      <c r="A2" s="288" t="s">
        <v>288</v>
      </c>
      <c r="B2" s="288"/>
      <c r="C2" s="288"/>
      <c r="D2" s="288"/>
      <c r="E2" s="220">
        <f>Rangschikking!E3</f>
        <v>46010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292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291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291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292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291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292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292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1">
        <v>45936</v>
      </c>
      <c r="B35" s="232" t="s">
        <v>13</v>
      </c>
      <c r="C35" s="230" t="s">
        <v>291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291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5">
        <v>45946</v>
      </c>
      <c r="B40" s="230" t="s">
        <v>16</v>
      </c>
      <c r="C40" s="230" t="s">
        <v>7</v>
      </c>
      <c r="D40" s="266">
        <f>VLOOKUP(B40,Punten!$C$3:$AD$222,7,0)</f>
        <v>58.264000000000003</v>
      </c>
      <c r="E40" s="266">
        <f>VLOOKUP(C40,Punten!$C$3:$AD$222,7,0)</f>
        <v>53.423999999999999</v>
      </c>
    </row>
    <row r="41" spans="1:5" s="84" customFormat="1" ht="15" x14ac:dyDescent="0.25">
      <c r="A41" s="96">
        <v>45916</v>
      </c>
      <c r="B41" s="98" t="s">
        <v>292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5">
        <v>45958</v>
      </c>
      <c r="B43" s="230" t="s">
        <v>9</v>
      </c>
      <c r="C43" s="230" t="s">
        <v>10</v>
      </c>
      <c r="D43" s="266">
        <f>VLOOKUP(B43,Punten!$C$3:$AD$222,7,0)</f>
        <v>61.108000000000004</v>
      </c>
      <c r="E43" s="266">
        <f>VLOOKUP(C43,Punten!$C$3:$AD$222,7,0)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291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292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VLOOKUP(B54,Punten!$C$3:$AD$222,9,0)</f>
        <v>64.655000000000001</v>
      </c>
      <c r="E54" s="104">
        <f>VLOOKUP(C54,Punten!$C$3:$AD$222,9,0)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VLOOKUP(B55,Punten!$C$3:$AD$222,9,0)</f>
        <v>72.176999999999992</v>
      </c>
      <c r="E55" s="104">
        <f>VLOOKUP(C55,Punten!$C$3:$AD$222,9,0)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VLOOKUP(B56,Punten!$C$3:$AD$222,9,0)</f>
        <v>49.109000000000002</v>
      </c>
      <c r="E56" s="104">
        <f>VLOOKUP(C56,Punten!$C$3:$AD$222,9,0)</f>
        <v>72.751000000000005</v>
      </c>
    </row>
    <row r="57" spans="1:5" s="84" customFormat="1" ht="15" x14ac:dyDescent="0.25">
      <c r="A57" s="96">
        <v>45944</v>
      </c>
      <c r="B57" s="98" t="s">
        <v>292</v>
      </c>
      <c r="C57" s="98" t="s">
        <v>13</v>
      </c>
      <c r="D57" s="104">
        <f>VLOOKUP(B57,Punten!$C$3:$AD$222,9,0)</f>
        <v>66.293000000000006</v>
      </c>
      <c r="E57" s="104">
        <f>VLOOKUP(C57,Punten!$C$3:$AD$222,9,0)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VLOOKUP(B58,Punten!$C$3:$AD$222,9,0)</f>
        <v>56.863</v>
      </c>
      <c r="E58" s="104">
        <f>VLOOKUP(C58,Punten!$C$3:$AD$222,9,0)</f>
        <v>50.501000000000005</v>
      </c>
    </row>
    <row r="59" spans="1:5" x14ac:dyDescent="0.3">
      <c r="A59" s="96">
        <v>45945</v>
      </c>
      <c r="B59" s="105" t="s">
        <v>6</v>
      </c>
      <c r="C59" s="98" t="s">
        <v>291</v>
      </c>
      <c r="D59" s="104">
        <f>VLOOKUP(B59,Punten!$C$3:$AD$222,9,0)</f>
        <v>60.754000000000005</v>
      </c>
      <c r="E59" s="104">
        <f>VLOOKUP(C59,Punten!$C$3:$AD$222,9,0)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VLOOKUP(B60,Punten!$C$3:$AD$222,9,0)</f>
        <v>47.510999999999996</v>
      </c>
      <c r="E60" s="104">
        <f>VLOOKUP(C60,Punten!$C$3:$AD$222,9,0)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VLOOKUP(B62,Punten!$C$3:$AD$222,10,0)</f>
        <v>61.198999999999998</v>
      </c>
      <c r="E62" s="104">
        <f>VLOOKUP(C62,Punten!$C$3:$AD$222,10,0)</f>
        <v>56.524999999999999</v>
      </c>
    </row>
    <row r="63" spans="1:5" ht="15" customHeight="1" x14ac:dyDescent="0.3">
      <c r="A63" s="96">
        <v>45957</v>
      </c>
      <c r="B63" s="98" t="s">
        <v>291</v>
      </c>
      <c r="C63" s="98" t="s">
        <v>292</v>
      </c>
      <c r="D63" s="104">
        <f>VLOOKUP(B63,Punten!$C$3:$AD$222,10,0)</f>
        <v>53.39</v>
      </c>
      <c r="E63" s="104">
        <f>VLOOKUP(C63,Punten!$C$3:$AD$222,10,0)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VLOOKUP(B64,Punten!$C$3:$AD$222,10,0)</f>
        <v>60.869000000000007</v>
      </c>
      <c r="E64" s="104">
        <f>VLOOKUP(C64,Punten!$C$3:$AD$222,10,0)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VLOOKUP(B65,Punten!$C$3:$AD$222,10,0)</f>
        <v>62.817999999999998</v>
      </c>
      <c r="E65" s="104">
        <f>VLOOKUP(C65,Punten!$C$3:$AD$222,10,0)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VLOOKUP(B66,Punten!$C$3:$AD$222,10,0)</f>
        <v>57.887</v>
      </c>
      <c r="E66" s="104">
        <f>VLOOKUP(C66,Punten!$C$3:$AD$222,10,0)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VLOOKUP(B67,Punten!$C$3:$AD$222,10,0)</f>
        <v>68.323999999999998</v>
      </c>
      <c r="E67" s="104">
        <f>VLOOKUP(C67,Punten!$C$3:$AD$222,10,0)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VLOOKUP(B68,Punten!$C$3:$AD$222,10,0)</f>
        <v>63.644000000000005</v>
      </c>
      <c r="E68" s="104">
        <f>VLOOKUP(C68,Punten!$C$3:$AD$222,10,0)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VLOOKUP(B70,Punten!$C$3:$AD$222,11,0)</f>
        <v>58.667000000000002</v>
      </c>
      <c r="E70" s="104">
        <f>VLOOKUP(C70,Punten!$C$3:$AD$222,11,0)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VLOOKUP(B71,Punten!$C$3:$AD$222,11,0)</f>
        <v>76.480999999999995</v>
      </c>
      <c r="E71" s="104">
        <f>VLOOKUP(C71,Punten!$C$3:$AD$222,11,0)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VLOOKUP(B72,Punten!$C$3:$AD$222,11,0)</f>
        <v>67.745999999999995</v>
      </c>
      <c r="E72" s="104">
        <f>VLOOKUP(C72,Punten!$C$3:$AD$222,11,0)</f>
        <v>57.384</v>
      </c>
    </row>
    <row r="73" spans="1:6" ht="15" customHeight="1" x14ac:dyDescent="0.3">
      <c r="A73" s="117">
        <v>45974</v>
      </c>
      <c r="B73" s="121" t="s">
        <v>292</v>
      </c>
      <c r="C73" s="121" t="s">
        <v>11</v>
      </c>
      <c r="D73" s="104">
        <f>VLOOKUP(B73,Punten!$C$3:$AD$222,11,0)</f>
        <v>54.584000000000003</v>
      </c>
      <c r="E73" s="104">
        <f>VLOOKUP(C73,Punten!$C$3:$AD$222,11,0)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6">
        <f>VLOOKUP(B74,Punten!$C$3:$AD$222,11,0)</f>
        <v>67.024999999999991</v>
      </c>
      <c r="E74" s="266">
        <f>VLOOKUP(C74,Punten!$C$3:$AD$222,11,0)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291</v>
      </c>
      <c r="D75" s="104">
        <f>VLOOKUP(B75,Punten!$C$3:$AD$222,11,0)</f>
        <v>71.91</v>
      </c>
      <c r="E75" s="104">
        <f>VLOOKUP(C75,Punten!$C$3:$AD$222,11,0)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VLOOKUP(B76,Punten!$C$3:$AD$222,11,0)</f>
        <v>49.686999999999998</v>
      </c>
      <c r="E76" s="104">
        <f>VLOOKUP(C76,Punten!$C$3:$AD$222,11,0)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291</v>
      </c>
      <c r="C78" s="98" t="s">
        <v>8</v>
      </c>
      <c r="D78" s="104">
        <f>VLOOKUP(B78,Punten!$C$3:$AD$222,12,0)</f>
        <v>63.083999999999996</v>
      </c>
      <c r="E78" s="104">
        <f>VLOOKUP(C78,Punten!$C$3:$AD$222,12,0)</f>
        <v>48.582999999999998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>
        <f>VLOOKUP(B79,Punten!$C$3:$AD$222,12,0)</f>
        <v>59.75</v>
      </c>
      <c r="E79" s="104">
        <f>VLOOKUP(C79,Punten!$C$3:$AD$222,12,0)</f>
        <v>66.570999999999998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>
        <f>VLOOKUP(B80,Punten!$C$3:$AD$222,12,0)</f>
        <v>71.882000000000005</v>
      </c>
      <c r="E80" s="104">
        <f>VLOOKUP(C80,Punten!$C$3:$AD$222,12,0)</f>
        <v>53.023000000000003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>
        <f>VLOOKUP(B81,Punten!$C$3:$AD$222,12,0)</f>
        <v>52.470999999999997</v>
      </c>
      <c r="E81" s="104">
        <f>VLOOKUP(C81,Punten!$C$3:$AD$222,12,0)</f>
        <v>50.755000000000003</v>
      </c>
    </row>
    <row r="82" spans="1:5" ht="15" customHeight="1" x14ac:dyDescent="0.3">
      <c r="A82" s="96">
        <v>45987</v>
      </c>
      <c r="B82" s="98" t="s">
        <v>6</v>
      </c>
      <c r="C82" s="98" t="s">
        <v>292</v>
      </c>
      <c r="D82" s="104">
        <f>VLOOKUP(B82,Punten!$C$3:$AD$222,12,0)</f>
        <v>53.038000000000004</v>
      </c>
      <c r="E82" s="104">
        <f>VLOOKUP(C82,Punten!$C$3:$AD$222,12,0)</f>
        <v>54.859000000000009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>
        <f>VLOOKUP(B83,Punten!$C$3:$AD$222,12,0)</f>
        <v>62.913999999999994</v>
      </c>
      <c r="E83" s="104">
        <f>VLOOKUP(C83,Punten!$C$3:$AD$222,12,0)</f>
        <v>46.372999999999998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>
        <f>VLOOKUP(B84,Punten!$C$3:$AD$222,12,0)</f>
        <v>52.161999999999999</v>
      </c>
      <c r="E84" s="104">
        <f>VLOOKUP(C84,Punten!$C$3:$AD$222,12,0)</f>
        <v>41.629000000000005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291</v>
      </c>
      <c r="D86" s="104">
        <f>VLOOKUP(B86,Punten!$C$3:$AD$222,13,0)</f>
        <v>47.802</v>
      </c>
      <c r="E86" s="104">
        <f>VLOOKUP(C86,Punten!$C$3:$AD$222,13,0)</f>
        <v>57.427000000000007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>
        <f>VLOOKUP(B87,Punten!$C$3:$AD$222,13,0)</f>
        <v>60.125</v>
      </c>
      <c r="E87" s="104">
        <f>VLOOKUP(C87,Punten!$C$3:$AD$222,13,0)</f>
        <v>67.561000000000007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>
        <f>VLOOKUP(B88,Punten!$C$3:$AD$222,13,0)</f>
        <v>69.228999999999999</v>
      </c>
      <c r="E88" s="104">
        <f>VLOOKUP(C88,Punten!$C$3:$AD$222,13,0)</f>
        <v>66.668999999999997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>
        <f>VLOOKUP(B89,Punten!$C$3:$AD$222,13,0)</f>
        <v>71.817000000000007</v>
      </c>
      <c r="E89" s="104">
        <f>VLOOKUP(C89,Punten!$C$3:$AD$222,13,0)</f>
        <v>52.012999999999998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>
        <f>VLOOKUP(B90,Punten!$C$3:$AD$222,13,0)</f>
        <v>61.230999999999995</v>
      </c>
      <c r="E90" s="104">
        <f>VLOOKUP(C90,Punten!$C$3:$AD$222,13,0)</f>
        <v>68.407000000000011</v>
      </c>
    </row>
    <row r="91" spans="1:5" ht="15" customHeight="1" x14ac:dyDescent="0.3">
      <c r="A91" s="96">
        <v>45993</v>
      </c>
      <c r="B91" s="98" t="s">
        <v>292</v>
      </c>
      <c r="C91" s="98" t="s">
        <v>15</v>
      </c>
      <c r="D91" s="104">
        <f>VLOOKUP(B91,Punten!$C$3:$AD$222,13,0)</f>
        <v>65.5</v>
      </c>
      <c r="E91" s="104">
        <f>VLOOKUP(C91,Punten!$C$3:$AD$222,13,0)</f>
        <v>61.686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>
        <f>VLOOKUP(B92,Punten!$C$3:$AD$222,13,0)</f>
        <v>42.208999999999996</v>
      </c>
      <c r="E92" s="104">
        <f>VLOOKUP(C92,Punten!$C$3:$AD$222,13,0)</f>
        <v>67.533000000000001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>
        <f>VLOOKUP(B94,Punten!$C$3:$AD$222,14,0)</f>
        <v>61.689</v>
      </c>
      <c r="E94" s="104">
        <f>VLOOKUP(C94,Punten!$C$3:$AD$222,14,0)</f>
        <v>65.843999999999994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>
        <f>VLOOKUP(B95,Punten!$C$3:$AD$222,14,0)</f>
        <v>59.680999999999997</v>
      </c>
      <c r="E95" s="104">
        <f>VLOOKUP(C95,Punten!$C$3:$AD$222,14,0)</f>
        <v>53.382999999999996</v>
      </c>
    </row>
    <row r="96" spans="1:5" ht="15" customHeight="1" x14ac:dyDescent="0.3">
      <c r="A96" s="96">
        <v>45999</v>
      </c>
      <c r="B96" s="98" t="s">
        <v>291</v>
      </c>
      <c r="C96" s="98" t="s">
        <v>16</v>
      </c>
      <c r="D96" s="104">
        <f>VLOOKUP(B96,Punten!$C$3:$AD$222,14,0)</f>
        <v>46.090999999999994</v>
      </c>
      <c r="E96" s="104">
        <f>VLOOKUP(C96,Punten!$C$3:$AD$222,14,0)</f>
        <v>43.292000000000002</v>
      </c>
    </row>
    <row r="97" spans="1:7" ht="15" customHeight="1" x14ac:dyDescent="0.3">
      <c r="A97" s="97">
        <v>46000</v>
      </c>
      <c r="B97" s="98" t="s">
        <v>292</v>
      </c>
      <c r="C97" s="98" t="s">
        <v>9</v>
      </c>
      <c r="D97" s="104">
        <f>VLOOKUP(B97,Punten!$C$3:$AD$222,14,0)</f>
        <v>74.555999999999997</v>
      </c>
      <c r="E97" s="104">
        <f>VLOOKUP(C97,Punten!$C$3:$AD$222,14,0)</f>
        <v>60.03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>
        <f>VLOOKUP(B98,Punten!$C$3:$AD$222,14,0)</f>
        <v>54.676000000000002</v>
      </c>
      <c r="E98" s="104">
        <f>VLOOKUP(C98,Punten!$C$3:$AD$222,14,0)</f>
        <v>75.402000000000001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>
        <f>VLOOKUP(B99,Punten!$C$3:$AD$222,14,0)</f>
        <v>53.646999999999998</v>
      </c>
      <c r="E99" s="104">
        <f>VLOOKUP(C99,Punten!$C$3:$AD$222,14,0)</f>
        <v>53.763999999999996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>
        <f>VLOOKUP(B100,Punten!$C$3:$AD$222,14,0)</f>
        <v>56.548999999999999</v>
      </c>
      <c r="E100" s="104">
        <f>VLOOKUP(C100,Punten!$C$3:$AD$222,14,0)</f>
        <v>56.846999999999994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>
        <f>VLOOKUP(B102,Punten!$C$3:$AD$222,15,0)</f>
        <v>53.099000000000004</v>
      </c>
      <c r="E102" s="104">
        <f>VLOOKUP(C102,Punten!$C$3:$AD$222,15,0)</f>
        <v>57.088000000000001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>
        <f>VLOOKUP(B103,Punten!$C$3:$AD$222,15,0)</f>
        <v>54.387</v>
      </c>
      <c r="E103" s="104">
        <f>VLOOKUP(C103,Punten!$C$3:$AD$222,15,0)</f>
        <v>73.274000000000001</v>
      </c>
    </row>
    <row r="104" spans="1:7" ht="15" customHeight="1" x14ac:dyDescent="0.3">
      <c r="A104" s="170">
        <v>46006</v>
      </c>
      <c r="B104" s="171" t="s">
        <v>291</v>
      </c>
      <c r="C104" s="171" t="s">
        <v>12</v>
      </c>
      <c r="D104" s="104">
        <f>VLOOKUP(B104,Punten!$C$3:$AD$222,15,0)</f>
        <v>56.138999999999996</v>
      </c>
      <c r="E104" s="104">
        <f>VLOOKUP(C104,Punten!$C$3:$AD$222,15,0)</f>
        <v>55.677</v>
      </c>
    </row>
    <row r="105" spans="1:7" ht="15" customHeight="1" x14ac:dyDescent="0.3">
      <c r="A105" s="96">
        <v>46007</v>
      </c>
      <c r="B105" s="98" t="s">
        <v>16</v>
      </c>
      <c r="C105" s="98" t="s">
        <v>11</v>
      </c>
      <c r="D105" s="104">
        <f>VLOOKUP(B105,Punten!$C$3:$AD$222,15,0)</f>
        <v>51.216000000000001</v>
      </c>
      <c r="E105" s="104">
        <f>VLOOKUP(C105,Punten!$C$3:$AD$222,15,0)</f>
        <v>81.981999999999999</v>
      </c>
    </row>
    <row r="106" spans="1:7" ht="15" customHeight="1" x14ac:dyDescent="0.3">
      <c r="A106" s="96">
        <v>46007</v>
      </c>
      <c r="B106" s="98" t="s">
        <v>8</v>
      </c>
      <c r="C106" s="98" t="s">
        <v>292</v>
      </c>
      <c r="D106" s="104">
        <f>VLOOKUP(B106,Punten!$C$3:$AD$222,15,0)</f>
        <v>82.206000000000003</v>
      </c>
      <c r="E106" s="104">
        <f>VLOOKUP(C106,Punten!$C$3:$AD$222,15,0)</f>
        <v>64.019000000000005</v>
      </c>
    </row>
    <row r="107" spans="1:7" ht="15" customHeight="1" x14ac:dyDescent="0.3">
      <c r="A107" s="96">
        <v>46007</v>
      </c>
      <c r="B107" s="98" t="s">
        <v>9</v>
      </c>
      <c r="C107" s="105" t="s">
        <v>15</v>
      </c>
      <c r="D107" s="104">
        <f>VLOOKUP(B107,Punten!$C$3:$AD$222,15,0)</f>
        <v>45.399000000000001</v>
      </c>
      <c r="E107" s="104">
        <f>VLOOKUP(C107,Punten!$C$3:$AD$222,15,0)</f>
        <v>64.419000000000011</v>
      </c>
    </row>
    <row r="108" spans="1:7" ht="15" customHeight="1" x14ac:dyDescent="0.3">
      <c r="A108" s="119">
        <v>46009</v>
      </c>
      <c r="B108" s="98" t="s">
        <v>10</v>
      </c>
      <c r="C108" s="98" t="s">
        <v>13</v>
      </c>
      <c r="D108" s="104">
        <f>VLOOKUP(B108,Punten!$C$3:$AD$222,15,0)</f>
        <v>57.758000000000003</v>
      </c>
      <c r="E108" s="104">
        <f>VLOOKUP(C108,Punten!$C$3:$AD$222,15,0)</f>
        <v>65.793000000000006</v>
      </c>
    </row>
    <row r="109" spans="1:7" s="61" customFormat="1" ht="15.6" customHeight="1" x14ac:dyDescent="0.3">
      <c r="A109" s="286"/>
      <c r="B109" s="280"/>
      <c r="C109" s="169"/>
      <c r="E109" s="62"/>
      <c r="F109" s="62"/>
      <c r="G109" s="62"/>
    </row>
    <row r="110" spans="1:7" ht="22.2" customHeight="1" x14ac:dyDescent="0.3">
      <c r="A110" s="290" t="s">
        <v>287</v>
      </c>
      <c r="B110" s="290"/>
      <c r="C110" s="290"/>
      <c r="D110" s="290"/>
      <c r="E110" s="108"/>
    </row>
    <row r="111" spans="1:7" ht="15" customHeight="1" x14ac:dyDescent="0.3">
      <c r="A111" s="289" t="s">
        <v>288</v>
      </c>
      <c r="B111" s="289"/>
      <c r="C111" s="289"/>
      <c r="D111" s="289"/>
      <c r="E111" s="109" t="s">
        <v>289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291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292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291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292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0">
        <v>46037</v>
      </c>
      <c r="B128" s="171" t="s">
        <v>10</v>
      </c>
      <c r="C128" s="171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291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292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170">
        <v>46048</v>
      </c>
      <c r="B141" s="171" t="s">
        <v>12</v>
      </c>
      <c r="C141" s="171" t="s">
        <v>291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292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291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292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292</v>
      </c>
      <c r="C156" s="98" t="s">
        <v>291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7">
        <v>46078</v>
      </c>
      <c r="B159" s="208" t="s">
        <v>5</v>
      </c>
      <c r="C159" s="171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292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291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292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291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291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292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291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292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291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292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291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292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292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291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6" t="s">
        <v>320</v>
      </c>
      <c r="B218" s="280"/>
      <c r="C218" s="169" t="s">
        <v>347</v>
      </c>
      <c r="E218" s="62"/>
      <c r="F218" s="62"/>
      <c r="G218" s="62"/>
    </row>
    <row r="219" spans="1:7" x14ac:dyDescent="0.3">
      <c r="A219" s="284" t="s">
        <v>351</v>
      </c>
      <c r="B219" s="285"/>
      <c r="C219" s="285"/>
      <c r="D219" s="285"/>
      <c r="E219" s="285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02:C108">
    <sortCondition ref="A102:A108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S22" sqref="S2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22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48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8">
        <f>IF(P4=0," ",P4/Q4)</f>
        <v>22.333333333333332</v>
      </c>
      <c r="S4" s="94">
        <f>IF(P4=0," ",P4/(Q4*B4)*100)</f>
        <v>117.54385964912282</v>
      </c>
      <c r="T4" s="137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134</v>
      </c>
      <c r="AM4" s="123">
        <f t="shared" ref="AM4" si="1">Q4+AI4</f>
        <v>6</v>
      </c>
      <c r="AN4" s="8">
        <f>IF(AL4=0," ",AL4/AM4)</f>
        <v>22.333333333333332</v>
      </c>
      <c r="AO4" s="94">
        <f>IF(AL4=0," ",AL4/(AM4*T4)*100)</f>
        <v>117.54385964912282</v>
      </c>
    </row>
    <row r="5" spans="1:41" s="10" customFormat="1" ht="20.100000000000001" customHeight="1" x14ac:dyDescent="0.3">
      <c r="A5" s="26" t="s">
        <v>286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11">
        <f t="shared" ref="R5:R18" si="4">IF(P5=0," ",P5/Q5)</f>
        <v>33.4</v>
      </c>
      <c r="S5" s="12">
        <f t="shared" ref="S5:S18" si="5">IF(P5=0," ",P5/(Q5*B5)*100)</f>
        <v>95.428571428571431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167</v>
      </c>
      <c r="AM5" s="95">
        <f t="shared" ref="AM5:AM18" si="10">Q5+AI5</f>
        <v>5</v>
      </c>
      <c r="AN5" s="11">
        <f t="shared" ref="AN5:AN18" si="11">IF(AL5=0," ",AL5/AM5)</f>
        <v>33.4</v>
      </c>
      <c r="AO5" s="12">
        <f t="shared" ref="AO5:AO18" si="12">IF(AL5=0," ",AL5/(AM5*T5)*100)</f>
        <v>95.428571428571431</v>
      </c>
    </row>
    <row r="6" spans="1:41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>
        <v>26</v>
      </c>
      <c r="P7" s="13">
        <f t="shared" si="2"/>
        <v>227</v>
      </c>
      <c r="Q7" s="11">
        <f t="shared" si="3"/>
        <v>9</v>
      </c>
      <c r="R7" s="11">
        <f t="shared" si="4"/>
        <v>25.222222222222221</v>
      </c>
      <c r="S7" s="12">
        <f t="shared" si="5"/>
        <v>97.008547008547012</v>
      </c>
      <c r="T7" s="70">
        <v>26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227</v>
      </c>
      <c r="AM7" s="95">
        <f t="shared" si="10"/>
        <v>9</v>
      </c>
      <c r="AN7" s="11">
        <f t="shared" si="11"/>
        <v>25.222222222222221</v>
      </c>
      <c r="AO7" s="12">
        <f t="shared" si="12"/>
        <v>97.008547008547012</v>
      </c>
    </row>
    <row r="8" spans="1:41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>
        <v>51</v>
      </c>
      <c r="P8" s="13">
        <f t="shared" si="2"/>
        <v>309</v>
      </c>
      <c r="Q8" s="11">
        <f t="shared" si="3"/>
        <v>8</v>
      </c>
      <c r="R8" s="11">
        <f t="shared" si="4"/>
        <v>38.625</v>
      </c>
      <c r="S8" s="12">
        <f t="shared" si="5"/>
        <v>80.46875</v>
      </c>
      <c r="T8" s="70">
        <v>48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309</v>
      </c>
      <c r="AM8" s="95">
        <f t="shared" si="10"/>
        <v>8</v>
      </c>
      <c r="AN8" s="11">
        <f t="shared" si="11"/>
        <v>38.625</v>
      </c>
      <c r="AO8" s="12">
        <f t="shared" si="12"/>
        <v>80.46875</v>
      </c>
    </row>
    <row r="9" spans="1:41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11">
        <f t="shared" si="4"/>
        <v>20</v>
      </c>
      <c r="S9" s="12">
        <f t="shared" si="5"/>
        <v>80</v>
      </c>
      <c r="T9" s="70">
        <v>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120</v>
      </c>
      <c r="AM9" s="95">
        <f t="shared" si="10"/>
        <v>6</v>
      </c>
      <c r="AN9" s="11">
        <f t="shared" si="11"/>
        <v>20</v>
      </c>
      <c r="AO9" s="12">
        <f t="shared" si="12"/>
        <v>80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>
        <v>12</v>
      </c>
      <c r="P10" s="13">
        <f t="shared" si="2"/>
        <v>118</v>
      </c>
      <c r="Q10" s="11">
        <f t="shared" si="3"/>
        <v>8</v>
      </c>
      <c r="R10" s="11">
        <f t="shared" si="4"/>
        <v>14.75</v>
      </c>
      <c r="S10" s="12">
        <f t="shared" si="5"/>
        <v>98.333333333333329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118</v>
      </c>
      <c r="AM10" s="95">
        <f t="shared" si="10"/>
        <v>8</v>
      </c>
      <c r="AN10" s="11">
        <f t="shared" si="11"/>
        <v>14.75</v>
      </c>
      <c r="AO10" s="12">
        <f t="shared" si="12"/>
        <v>98.333333333333329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>
        <v>20</v>
      </c>
      <c r="P11" s="13">
        <f t="shared" si="2"/>
        <v>200</v>
      </c>
      <c r="Q11" s="11">
        <f t="shared" si="3"/>
        <v>8</v>
      </c>
      <c r="R11" s="11">
        <f t="shared" si="4"/>
        <v>25</v>
      </c>
      <c r="S11" s="12">
        <f t="shared" si="5"/>
        <v>89.285714285714292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200</v>
      </c>
      <c r="AM11" s="95">
        <f t="shared" si="10"/>
        <v>8</v>
      </c>
      <c r="AN11" s="11">
        <f t="shared" si="11"/>
        <v>25</v>
      </c>
      <c r="AO11" s="12">
        <f t="shared" si="12"/>
        <v>89.285714285714292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11">
        <f t="shared" si="4"/>
        <v>24.5</v>
      </c>
      <c r="S12" s="12">
        <f t="shared" si="5"/>
        <v>98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245</v>
      </c>
      <c r="AM12" s="95">
        <f t="shared" si="10"/>
        <v>10</v>
      </c>
      <c r="AN12" s="11">
        <f t="shared" si="11"/>
        <v>24.5</v>
      </c>
      <c r="AO12" s="12">
        <f t="shared" si="12"/>
        <v>98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>
        <v>32</v>
      </c>
      <c r="P13" s="13">
        <f t="shared" si="2"/>
        <v>217</v>
      </c>
      <c r="Q13" s="11">
        <f t="shared" si="3"/>
        <v>8</v>
      </c>
      <c r="R13" s="11">
        <f t="shared" si="4"/>
        <v>27.125</v>
      </c>
      <c r="S13" s="12">
        <f t="shared" si="5"/>
        <v>93.534482758620683</v>
      </c>
      <c r="T13" s="70">
        <v>29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217</v>
      </c>
      <c r="AM13" s="95">
        <f t="shared" si="10"/>
        <v>8</v>
      </c>
      <c r="AN13" s="11">
        <f t="shared" si="11"/>
        <v>27.125</v>
      </c>
      <c r="AO13" s="12">
        <f t="shared" si="12"/>
        <v>93.534482758620683</v>
      </c>
    </row>
    <row r="14" spans="1:41" s="10" customFormat="1" ht="20.100000000000001" customHeight="1" x14ac:dyDescent="0.3">
      <c r="A14" s="26" t="s">
        <v>338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336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11">
        <f t="shared" si="4"/>
        <v>28.625</v>
      </c>
      <c r="S15" s="12">
        <f t="shared" si="5"/>
        <v>95.416666666666671</v>
      </c>
      <c r="T15" s="70">
        <v>30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229</v>
      </c>
      <c r="AM15" s="95">
        <f t="shared" si="10"/>
        <v>8</v>
      </c>
      <c r="AN15" s="11">
        <f t="shared" si="11"/>
        <v>28.625</v>
      </c>
      <c r="AO15" s="12">
        <f t="shared" si="12"/>
        <v>95.416666666666671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144</v>
      </c>
      <c r="M19" s="19">
        <f t="shared" si="14"/>
        <v>144</v>
      </c>
      <c r="N19" s="19">
        <f t="shared" si="14"/>
        <v>149</v>
      </c>
      <c r="O19" s="19">
        <f t="shared" si="14"/>
        <v>177</v>
      </c>
      <c r="P19" s="19">
        <f t="shared" si="14"/>
        <v>2032</v>
      </c>
      <c r="Q19" s="19">
        <f t="shared" si="14"/>
        <v>78</v>
      </c>
      <c r="R19" s="19">
        <f>P19/Q19</f>
        <v>26.051282051282051</v>
      </c>
      <c r="S19" s="22"/>
      <c r="T19" s="179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2032</v>
      </c>
      <c r="AM19" s="18">
        <f>SUM(AM4:AM18)</f>
        <v>78</v>
      </c>
      <c r="AN19" s="18">
        <f t="shared" ref="AN19" si="16">AL19/AM19</f>
        <v>26.051282051282051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110" zoomScaleNormal="110" workbookViewId="0">
      <selection activeCell="AB11" sqref="AB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21" t="s">
        <v>60</v>
      </c>
      <c r="B2" s="323" t="s">
        <v>42</v>
      </c>
      <c r="C2" s="299" t="s">
        <v>61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62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322"/>
      <c r="B3" s="324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25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9"/>
      <c r="AI3" s="320"/>
      <c r="AJ3" s="318"/>
      <c r="AK3" s="76"/>
      <c r="AL3" s="319"/>
      <c r="AM3" s="320"/>
      <c r="AN3" s="320"/>
      <c r="AO3" s="318"/>
    </row>
    <row r="4" spans="1:41" s="10" customFormat="1" ht="20.100000000000001" customHeight="1" x14ac:dyDescent="0.3">
      <c r="A4" s="177" t="s">
        <v>307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>
        <v>36</v>
      </c>
      <c r="P4" s="9">
        <f>SUM(C4:O4)</f>
        <v>195</v>
      </c>
      <c r="Q4" s="8">
        <f>COUNTIF(C4:O4,"&gt;0")</f>
        <v>6</v>
      </c>
      <c r="R4" s="8">
        <f>IF(P4=0," ",P4/Q4)</f>
        <v>32.5</v>
      </c>
      <c r="S4" s="94">
        <f>IF(P4=0," ",P4/(Q4*B4)*100)</f>
        <v>104.83870967741935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195</v>
      </c>
      <c r="AM4" s="123">
        <f t="shared" ref="AM4" si="1">Q4+AI4</f>
        <v>6</v>
      </c>
      <c r="AN4" s="8">
        <f>IF(AL4=0," ",AL4/AM4)</f>
        <v>32.5</v>
      </c>
      <c r="AO4" s="94">
        <f>IF(AL4=0," ",AL4/(AM4*T4)*100)</f>
        <v>104.83870967741935</v>
      </c>
    </row>
    <row r="5" spans="1:41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11">
        <f t="shared" ref="R5:R18" si="4">IF(P5=0," ",P5/Q5)</f>
        <v>54.75</v>
      </c>
      <c r="S5" s="12">
        <f t="shared" ref="S5:S18" si="5">IF(P5=0," ",P5/(Q5*B5)*100)</f>
        <v>105.28846153846155</v>
      </c>
      <c r="T5" s="70">
        <v>52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219</v>
      </c>
      <c r="AM5" s="95">
        <f t="shared" ref="AM5:AM18" si="10">Q5+AI5</f>
        <v>4</v>
      </c>
      <c r="AN5" s="11">
        <f t="shared" ref="AN5:AN18" si="11">IF(AL5=0," ",AL5/AM5)</f>
        <v>54.75</v>
      </c>
      <c r="AO5" s="12">
        <f t="shared" ref="AO5:AO18" si="12">IF(AL5=0," ",AL5/(AM5*T5)*100)</f>
        <v>105.28846153846155</v>
      </c>
    </row>
    <row r="6" spans="1:41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11">
        <f t="shared" si="4"/>
        <v>36.333333333333336</v>
      </c>
      <c r="S6" s="12">
        <f t="shared" si="5"/>
        <v>86.507936507936506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3</v>
      </c>
      <c r="AN6" s="11">
        <f t="shared" si="11"/>
        <v>36.333333333333336</v>
      </c>
      <c r="AO6" s="12">
        <f t="shared" si="12"/>
        <v>86.507936507936506</v>
      </c>
    </row>
    <row r="7" spans="1:41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11">
        <f t="shared" si="4"/>
        <v>16</v>
      </c>
      <c r="S7" s="12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11">
        <f t="shared" si="11"/>
        <v>16</v>
      </c>
      <c r="AO7" s="12">
        <f t="shared" si="12"/>
        <v>88.888888888888886</v>
      </c>
    </row>
    <row r="8" spans="1:41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75</v>
      </c>
      <c r="AM8" s="95">
        <f t="shared" si="10"/>
        <v>3</v>
      </c>
      <c r="AN8" s="11">
        <f t="shared" si="11"/>
        <v>25</v>
      </c>
      <c r="AO8" s="12">
        <f t="shared" si="12"/>
        <v>100</v>
      </c>
    </row>
    <row r="9" spans="1:41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11">
        <f t="shared" si="4"/>
        <v>50.857142857142854</v>
      </c>
      <c r="S9" s="12">
        <f t="shared" si="5"/>
        <v>95.956873315363879</v>
      </c>
      <c r="T9" s="70">
        <v>53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356</v>
      </c>
      <c r="AM9" s="95">
        <f t="shared" si="10"/>
        <v>7</v>
      </c>
      <c r="AN9" s="11">
        <f t="shared" si="11"/>
        <v>50.857142857142854</v>
      </c>
      <c r="AO9" s="12">
        <f t="shared" si="12"/>
        <v>95.956873315363879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>
        <v>29</v>
      </c>
      <c r="P10" s="13">
        <f t="shared" si="2"/>
        <v>264</v>
      </c>
      <c r="Q10" s="11">
        <f t="shared" si="3"/>
        <v>6</v>
      </c>
      <c r="R10" s="11">
        <f t="shared" si="4"/>
        <v>44</v>
      </c>
      <c r="S10" s="12">
        <f t="shared" si="5"/>
        <v>86.274509803921575</v>
      </c>
      <c r="T10" s="70">
        <v>51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264</v>
      </c>
      <c r="AM10" s="95">
        <f t="shared" si="10"/>
        <v>6</v>
      </c>
      <c r="AN10" s="11">
        <f t="shared" si="11"/>
        <v>44</v>
      </c>
      <c r="AO10" s="12">
        <f t="shared" si="12"/>
        <v>86.274509803921575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>
        <v>76</v>
      </c>
      <c r="P12" s="13">
        <f t="shared" si="2"/>
        <v>732</v>
      </c>
      <c r="Q12" s="11">
        <f t="shared" si="3"/>
        <v>10</v>
      </c>
      <c r="R12" s="11">
        <f t="shared" si="4"/>
        <v>73.2</v>
      </c>
      <c r="S12" s="12">
        <f t="shared" si="5"/>
        <v>81.333333333333329</v>
      </c>
      <c r="T12" s="70">
        <v>90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732</v>
      </c>
      <c r="AM12" s="95">
        <f t="shared" si="10"/>
        <v>10</v>
      </c>
      <c r="AN12" s="11">
        <f t="shared" si="11"/>
        <v>73.2</v>
      </c>
      <c r="AO12" s="12">
        <f t="shared" si="12"/>
        <v>81.333333333333329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>
        <v>24</v>
      </c>
      <c r="P13" s="13">
        <f t="shared" si="2"/>
        <v>188</v>
      </c>
      <c r="Q13" s="11">
        <f t="shared" si="3"/>
        <v>7</v>
      </c>
      <c r="R13" s="11">
        <f t="shared" si="4"/>
        <v>26.857142857142858</v>
      </c>
      <c r="S13" s="12">
        <f t="shared" si="5"/>
        <v>103.29670329670331</v>
      </c>
      <c r="T13" s="70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188</v>
      </c>
      <c r="AM13" s="95">
        <f t="shared" si="10"/>
        <v>7</v>
      </c>
      <c r="AN13" s="11">
        <f t="shared" si="11"/>
        <v>26.857142857142858</v>
      </c>
      <c r="AO13" s="12">
        <f t="shared" si="12"/>
        <v>103.29670329670331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>
        <v>55</v>
      </c>
      <c r="P14" s="13">
        <f t="shared" si="2"/>
        <v>388</v>
      </c>
      <c r="Q14" s="11">
        <f t="shared" si="3"/>
        <v>9</v>
      </c>
      <c r="R14" s="11">
        <f t="shared" si="4"/>
        <v>43.111111111111114</v>
      </c>
      <c r="S14" s="12">
        <f t="shared" si="5"/>
        <v>84.531590413943363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388</v>
      </c>
      <c r="AM14" s="95">
        <f t="shared" si="10"/>
        <v>9</v>
      </c>
      <c r="AN14" s="11">
        <f t="shared" si="11"/>
        <v>43.111111111111114</v>
      </c>
      <c r="AO14" s="12">
        <f t="shared" si="12"/>
        <v>84.531590413943363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11">
        <f t="shared" si="4"/>
        <v>31.666666666666668</v>
      </c>
      <c r="S15" s="12">
        <f t="shared" si="5"/>
        <v>95.959595959595958</v>
      </c>
      <c r="T15" s="70">
        <v>33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190</v>
      </c>
      <c r="AM15" s="95">
        <f t="shared" si="10"/>
        <v>6</v>
      </c>
      <c r="AN15" s="11">
        <f t="shared" si="11"/>
        <v>31.666666666666668</v>
      </c>
      <c r="AO15" s="12">
        <f t="shared" si="12"/>
        <v>95.959595959595958</v>
      </c>
    </row>
    <row r="16" spans="1:41" s="10" customFormat="1" ht="20.100000000000001" customHeight="1" x14ac:dyDescent="0.3">
      <c r="A16" s="275" t="s">
        <v>372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>
        <v>18</v>
      </c>
      <c r="P16" s="13">
        <f t="shared" si="2"/>
        <v>62</v>
      </c>
      <c r="Q16" s="11">
        <f t="shared" si="3"/>
        <v>4</v>
      </c>
      <c r="R16" s="11">
        <f t="shared" si="4"/>
        <v>15.5</v>
      </c>
      <c r="S16" s="12">
        <f t="shared" si="5"/>
        <v>103.33333333333334</v>
      </c>
      <c r="T16" s="328">
        <v>16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62</v>
      </c>
      <c r="AM16" s="95">
        <f t="shared" si="10"/>
        <v>4</v>
      </c>
      <c r="AN16" s="11">
        <f t="shared" si="11"/>
        <v>15.5</v>
      </c>
      <c r="AO16" s="12">
        <f t="shared" si="12"/>
        <v>96.875</v>
      </c>
    </row>
    <row r="17" spans="1:41" s="10" customFormat="1" ht="20.100000000000001" customHeight="1" x14ac:dyDescent="0.3">
      <c r="A17" s="26" t="s">
        <v>348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11">
        <f t="shared" si="4"/>
        <v>50.833333333333336</v>
      </c>
      <c r="S17" s="12">
        <f t="shared" si="5"/>
        <v>97.756410256410248</v>
      </c>
      <c r="T17" s="328">
        <v>51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305</v>
      </c>
      <c r="AM17" s="95">
        <f t="shared" si="10"/>
        <v>6</v>
      </c>
      <c r="AN17" s="11">
        <f t="shared" si="11"/>
        <v>50.833333333333336</v>
      </c>
      <c r="AO17" s="12">
        <f t="shared" si="12"/>
        <v>99.673202614379079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263</v>
      </c>
      <c r="M19" s="19">
        <f t="shared" si="13"/>
        <v>258</v>
      </c>
      <c r="N19" s="19">
        <f t="shared" si="13"/>
        <v>233</v>
      </c>
      <c r="O19" s="19">
        <f>SUM(O4:O18)</f>
        <v>238</v>
      </c>
      <c r="P19" s="19">
        <f t="shared" ref="P19:Q19" si="14">SUM(P4:P17)</f>
        <v>3209</v>
      </c>
      <c r="Q19" s="19">
        <f t="shared" si="14"/>
        <v>77</v>
      </c>
      <c r="R19" s="19">
        <f>P19/Q19</f>
        <v>41.675324675324674</v>
      </c>
      <c r="S19" s="22"/>
      <c r="T19" s="179">
        <f>SUM(T4:T18)</f>
        <v>598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3251</v>
      </c>
      <c r="AM19" s="18">
        <f>SUM(AM4:AM18)</f>
        <v>78</v>
      </c>
      <c r="AN19" s="18">
        <f t="shared" ref="AN19" si="17">AL19/AM19</f>
        <v>41.679487179487182</v>
      </c>
      <c r="AO19" s="20"/>
    </row>
    <row r="24" spans="1:41" x14ac:dyDescent="0.3">
      <c r="A24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zoomScaleNormal="100" workbookViewId="0">
      <selection activeCell="T14" sqref="T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21" t="s">
        <v>75</v>
      </c>
      <c r="B2" s="297" t="s">
        <v>42</v>
      </c>
      <c r="C2" s="299" t="s">
        <v>76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77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322"/>
      <c r="B3" s="298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>
        <v>31</v>
      </c>
      <c r="P4" s="9">
        <f>SUM(C4:O4)</f>
        <v>292</v>
      </c>
      <c r="Q4" s="8">
        <f>COUNTIF(C4:O4,"&gt;0")</f>
        <v>9</v>
      </c>
      <c r="R4" s="8">
        <f>IF(P4=0," ",P4/Q4)</f>
        <v>32.444444444444443</v>
      </c>
      <c r="S4" s="94">
        <f>IF(P4=0," ",P4/(Q4*B4)*100)</f>
        <v>101.38888888888889</v>
      </c>
      <c r="T4" s="71">
        <v>32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292</v>
      </c>
      <c r="AM4" s="123">
        <f t="shared" ref="AM4" si="1">Q4+AI4</f>
        <v>9</v>
      </c>
      <c r="AN4" s="8">
        <f>IF(AL4=0," ",AL4/AM4)</f>
        <v>32.444444444444443</v>
      </c>
      <c r="AO4" s="94">
        <f>IF(AL4=0," ",AL4/(AM4*T4)*100)</f>
        <v>101.38888888888889</v>
      </c>
    </row>
    <row r="5" spans="1:41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11">
        <f t="shared" ref="R5:R18" si="4">IF(P5=0," ",P5/Q5)</f>
        <v>13</v>
      </c>
      <c r="S5" s="12">
        <f t="shared" ref="S5:S18" si="5">IF(P5=0," ",P5/(Q5*B5)*100)</f>
        <v>72.222222222222214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117</v>
      </c>
      <c r="AM5" s="95">
        <f t="shared" ref="AM5:AM18" si="10">Q5+AI5</f>
        <v>9</v>
      </c>
      <c r="AN5" s="11">
        <f t="shared" ref="AN5:AN18" si="11">IF(AL5=0," ",AL5/AM5)</f>
        <v>13</v>
      </c>
      <c r="AO5" s="12">
        <f t="shared" ref="AO5:AO18" si="12">IF(AL5=0," ",AL5/(AM5*T5)*100)</f>
        <v>72.222222222222214</v>
      </c>
    </row>
    <row r="6" spans="1:41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11">
        <f t="shared" si="4"/>
        <v>24.857142857142858</v>
      </c>
      <c r="S6" s="12">
        <f t="shared" si="5"/>
        <v>88.775510204081627</v>
      </c>
      <c r="T6" s="70">
        <v>28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174</v>
      </c>
      <c r="AM6" s="95">
        <f t="shared" si="10"/>
        <v>7</v>
      </c>
      <c r="AN6" s="11">
        <f t="shared" si="11"/>
        <v>24.857142857142858</v>
      </c>
      <c r="AO6" s="12">
        <f t="shared" si="12"/>
        <v>88.775510204081627</v>
      </c>
    </row>
    <row r="7" spans="1:41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>
        <v>12</v>
      </c>
      <c r="P7" s="13">
        <f t="shared" si="2"/>
        <v>95</v>
      </c>
      <c r="Q7" s="11">
        <f t="shared" si="3"/>
        <v>9</v>
      </c>
      <c r="R7" s="11">
        <f t="shared" si="4"/>
        <v>10.555555555555555</v>
      </c>
      <c r="S7" s="12">
        <f t="shared" si="5"/>
        <v>70.370370370370367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95</v>
      </c>
      <c r="AM7" s="95">
        <f t="shared" si="10"/>
        <v>9</v>
      </c>
      <c r="AN7" s="11">
        <f t="shared" si="11"/>
        <v>10.555555555555555</v>
      </c>
      <c r="AO7" s="12">
        <f t="shared" si="12"/>
        <v>70.370370370370367</v>
      </c>
    </row>
    <row r="8" spans="1:41" s="10" customFormat="1" ht="20.100000000000001" customHeight="1" x14ac:dyDescent="0.3">
      <c r="A8" s="26" t="s">
        <v>346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11">
        <f t="shared" si="4"/>
        <v>27.666666666666668</v>
      </c>
      <c r="S8" s="12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11">
        <f t="shared" si="11"/>
        <v>27.666666666666668</v>
      </c>
      <c r="AO8" s="12">
        <f t="shared" si="12"/>
        <v>83.838383838383834</v>
      </c>
    </row>
    <row r="9" spans="1:41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11">
        <f t="shared" si="4"/>
        <v>98.25</v>
      </c>
      <c r="S9" s="12">
        <f t="shared" si="5"/>
        <v>78.600000000000009</v>
      </c>
      <c r="T9" s="70">
        <v>125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393</v>
      </c>
      <c r="AM9" s="95">
        <f t="shared" si="10"/>
        <v>4</v>
      </c>
      <c r="AN9" s="11">
        <f t="shared" si="11"/>
        <v>98.25</v>
      </c>
      <c r="AO9" s="12">
        <f t="shared" si="12"/>
        <v>78.600000000000009</v>
      </c>
    </row>
    <row r="10" spans="1:41" s="10" customFormat="1" ht="20.100000000000001" customHeight="1" x14ac:dyDescent="0.3">
      <c r="A10" s="26" t="s">
        <v>285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11">
        <f t="shared" si="4"/>
        <v>15</v>
      </c>
      <c r="S10" s="12">
        <f t="shared" si="5"/>
        <v>100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105</v>
      </c>
      <c r="AM10" s="95">
        <f t="shared" si="10"/>
        <v>7</v>
      </c>
      <c r="AN10" s="11">
        <f t="shared" si="11"/>
        <v>15</v>
      </c>
      <c r="AO10" s="12">
        <f t="shared" si="12"/>
        <v>100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>
        <v>21</v>
      </c>
      <c r="P11" s="13">
        <f t="shared" si="2"/>
        <v>153</v>
      </c>
      <c r="Q11" s="11">
        <f t="shared" si="3"/>
        <v>5</v>
      </c>
      <c r="R11" s="11">
        <f t="shared" si="4"/>
        <v>30.6</v>
      </c>
      <c r="S11" s="12">
        <f t="shared" si="5"/>
        <v>85</v>
      </c>
      <c r="T11" s="70">
        <v>36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153</v>
      </c>
      <c r="AM11" s="95">
        <f t="shared" si="10"/>
        <v>5</v>
      </c>
      <c r="AN11" s="11">
        <f t="shared" si="11"/>
        <v>30.6</v>
      </c>
      <c r="AO11" s="12">
        <f t="shared" si="12"/>
        <v>85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11">
        <f t="shared" si="4"/>
        <v>10.714285714285714</v>
      </c>
      <c r="S12" s="12">
        <f t="shared" si="5"/>
        <v>66.964285714285708</v>
      </c>
      <c r="T12" s="70">
        <v>16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75</v>
      </c>
      <c r="AM12" s="95">
        <f t="shared" si="10"/>
        <v>7</v>
      </c>
      <c r="AN12" s="11">
        <f t="shared" si="11"/>
        <v>10.714285714285714</v>
      </c>
      <c r="AO12" s="12">
        <f t="shared" si="12"/>
        <v>66.964285714285708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>
        <v>18</v>
      </c>
      <c r="P13" s="13">
        <f t="shared" si="2"/>
        <v>143</v>
      </c>
      <c r="Q13" s="11">
        <f t="shared" si="3"/>
        <v>8</v>
      </c>
      <c r="R13" s="11">
        <f t="shared" si="4"/>
        <v>17.875</v>
      </c>
      <c r="S13" s="12">
        <f t="shared" si="5"/>
        <v>111.71875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143</v>
      </c>
      <c r="AM13" s="95">
        <f t="shared" si="10"/>
        <v>8</v>
      </c>
      <c r="AN13" s="11">
        <f t="shared" si="11"/>
        <v>17.875</v>
      </c>
      <c r="AO13" s="12">
        <f t="shared" si="12"/>
        <v>111.71875</v>
      </c>
    </row>
    <row r="14" spans="1:41" s="10" customFormat="1" ht="20.100000000000001" customHeight="1" x14ac:dyDescent="0.3">
      <c r="A14" s="26" t="s">
        <v>341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>
        <v>13</v>
      </c>
      <c r="P14" s="13">
        <f t="shared" si="2"/>
        <v>130</v>
      </c>
      <c r="Q14" s="11">
        <f t="shared" si="3"/>
        <v>10</v>
      </c>
      <c r="R14" s="11">
        <f t="shared" si="4"/>
        <v>13</v>
      </c>
      <c r="S14" s="12">
        <f t="shared" si="5"/>
        <v>86.666666666666671</v>
      </c>
      <c r="T14" s="328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130</v>
      </c>
      <c r="AM14" s="95">
        <f t="shared" si="10"/>
        <v>10</v>
      </c>
      <c r="AN14" s="11">
        <f t="shared" si="11"/>
        <v>13</v>
      </c>
      <c r="AO14" s="12">
        <f t="shared" si="12"/>
        <v>86.666666666666671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191</v>
      </c>
      <c r="M19" s="19">
        <f t="shared" si="14"/>
        <v>226</v>
      </c>
      <c r="N19" s="19">
        <f t="shared" si="14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9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1760</v>
      </c>
      <c r="AM19" s="18">
        <f>SUM(AM4:AM18)</f>
        <v>78</v>
      </c>
      <c r="AN19" s="18">
        <f t="shared" ref="AN19" si="16">AL19/AM19</f>
        <v>22.564102564102566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topLeftCell="A2" zoomScale="145" zoomScaleNormal="145" workbookViewId="0">
      <selection activeCell="T12" sqref="T12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21" t="s">
        <v>86</v>
      </c>
      <c r="B2" s="297" t="s">
        <v>42</v>
      </c>
      <c r="C2" s="299" t="s">
        <v>87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88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322"/>
      <c r="B3" s="298"/>
      <c r="C3" s="6">
        <v>1</v>
      </c>
      <c r="D3" s="2">
        <v>2</v>
      </c>
      <c r="E3" s="2">
        <v>3</v>
      </c>
      <c r="F3" s="271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337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>
        <v>13</v>
      </c>
      <c r="P4" s="9">
        <f>SUM(C4:O4)</f>
        <v>68</v>
      </c>
      <c r="Q4" s="8">
        <f>COUNTIF(C4:O4,"&gt;0")</f>
        <v>6</v>
      </c>
      <c r="R4" s="8">
        <f>IF(P4=0," ",P4/Q4)</f>
        <v>11.333333333333334</v>
      </c>
      <c r="S4" s="94">
        <f t="shared" ref="S4" si="0">IF(P4=0," ",P4/(Q4*T4)*100)</f>
        <v>75.555555555555557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68</v>
      </c>
      <c r="AM4" s="123">
        <f t="shared" ref="AM4" si="2">Q4+AI4</f>
        <v>6</v>
      </c>
      <c r="AN4" s="8">
        <f>IF(AL4=0," ",AL4/AM4)</f>
        <v>11.333333333333334</v>
      </c>
      <c r="AO4" s="94">
        <f>IF(AL4=0," ",AL4/(AM4*T4)*100)</f>
        <v>75.555555555555557</v>
      </c>
    </row>
    <row r="5" spans="1:41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11">
        <f t="shared" ref="R5:R18" si="5">IF(P5=0," ",P5/Q5)</f>
        <v>45.5</v>
      </c>
      <c r="S5" s="12">
        <f t="shared" ref="S5:S18" si="6">IF(P5=0," ",P5/(Q5*T5)*100)</f>
        <v>119.73684210526316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455</v>
      </c>
      <c r="AM5" s="95">
        <f t="shared" ref="AM5:AM18" si="11">Q5+AI5</f>
        <v>10</v>
      </c>
      <c r="AN5" s="11">
        <f t="shared" ref="AN5:AN18" si="12">IF(AL5=0," ",AL5/AM5)</f>
        <v>45.5</v>
      </c>
      <c r="AO5" s="12">
        <f t="shared" ref="AO5:AO18" si="13">IF(AL5=0," ",AL5/(AM5*T5)*100)</f>
        <v>119.73684210526316</v>
      </c>
    </row>
    <row r="6" spans="1:41" s="10" customFormat="1" ht="20.100000000000001" customHeight="1" x14ac:dyDescent="0.3">
      <c r="A6" s="69" t="s">
        <v>308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11">
        <f t="shared" si="5"/>
        <v>18</v>
      </c>
      <c r="S6" s="12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11">
        <f t="shared" si="12"/>
        <v>18</v>
      </c>
      <c r="AO6" s="12">
        <f t="shared" si="13"/>
        <v>56.25</v>
      </c>
    </row>
    <row r="7" spans="1:41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11">
        <f t="shared" si="5"/>
        <v>33</v>
      </c>
      <c r="S7" s="12">
        <f t="shared" si="6"/>
        <v>97.058823529411768</v>
      </c>
      <c r="T7" s="70">
        <v>34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231</v>
      </c>
      <c r="AM7" s="95">
        <f t="shared" si="11"/>
        <v>7</v>
      </c>
      <c r="AN7" s="11">
        <f t="shared" si="12"/>
        <v>33</v>
      </c>
      <c r="AO7" s="12">
        <f t="shared" si="13"/>
        <v>97.058823529411768</v>
      </c>
    </row>
    <row r="8" spans="1:41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11">
        <f t="shared" si="5"/>
        <v>65.2</v>
      </c>
      <c r="S8" s="12">
        <f t="shared" si="6"/>
        <v>81.5</v>
      </c>
      <c r="T8" s="70">
        <v>80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326</v>
      </c>
      <c r="AM8" s="95">
        <f t="shared" si="11"/>
        <v>5</v>
      </c>
      <c r="AN8" s="11">
        <f t="shared" si="12"/>
        <v>65.2</v>
      </c>
      <c r="AO8" s="12">
        <f t="shared" si="13"/>
        <v>81.5</v>
      </c>
    </row>
    <row r="9" spans="1:41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>
        <v>28</v>
      </c>
      <c r="P11" s="13">
        <f t="shared" si="3"/>
        <v>226</v>
      </c>
      <c r="Q11" s="11">
        <f t="shared" si="4"/>
        <v>9</v>
      </c>
      <c r="R11" s="11">
        <f t="shared" si="5"/>
        <v>25.111111111111111</v>
      </c>
      <c r="S11" s="12">
        <f t="shared" si="6"/>
        <v>114.14141414141415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226</v>
      </c>
      <c r="AM11" s="95">
        <f t="shared" si="11"/>
        <v>9</v>
      </c>
      <c r="AN11" s="11">
        <f t="shared" si="12"/>
        <v>25.111111111111111</v>
      </c>
      <c r="AO11" s="12">
        <f t="shared" si="13"/>
        <v>114.14141414141415</v>
      </c>
    </row>
    <row r="12" spans="1:41" s="10" customFormat="1" ht="20.100000000000001" customHeight="1" x14ac:dyDescent="0.3">
      <c r="A12" s="26" t="s">
        <v>371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11">
        <f t="shared" si="5"/>
        <v>23</v>
      </c>
      <c r="S12" s="12">
        <f t="shared" si="6"/>
        <v>100</v>
      </c>
      <c r="T12" s="328">
        <v>23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92</v>
      </c>
      <c r="AM12" s="95">
        <f t="shared" si="11"/>
        <v>4</v>
      </c>
      <c r="AN12" s="11">
        <f t="shared" si="12"/>
        <v>23</v>
      </c>
      <c r="AO12" s="12">
        <f t="shared" si="13"/>
        <v>100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>
        <v>44</v>
      </c>
      <c r="P13" s="13">
        <f t="shared" si="3"/>
        <v>312</v>
      </c>
      <c r="Q13" s="11">
        <f t="shared" si="4"/>
        <v>8</v>
      </c>
      <c r="R13" s="11">
        <f t="shared" si="5"/>
        <v>39</v>
      </c>
      <c r="S13" s="12">
        <f t="shared" si="6"/>
        <v>118.18181818181819</v>
      </c>
      <c r="T13" s="70">
        <v>33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312</v>
      </c>
      <c r="AM13" s="95">
        <f t="shared" si="11"/>
        <v>8</v>
      </c>
      <c r="AN13" s="11">
        <f t="shared" si="12"/>
        <v>39</v>
      </c>
      <c r="AO13" s="12">
        <f t="shared" si="13"/>
        <v>118.18181818181819</v>
      </c>
    </row>
    <row r="14" spans="1:41" s="10" customFormat="1" ht="20.100000000000001" customHeight="1" x14ac:dyDescent="0.3">
      <c r="A14" s="26" t="s">
        <v>318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>
        <v>37</v>
      </c>
      <c r="P14" s="13">
        <f t="shared" si="3"/>
        <v>323</v>
      </c>
      <c r="Q14" s="11">
        <f t="shared" si="4"/>
        <v>9</v>
      </c>
      <c r="R14" s="11">
        <f t="shared" si="5"/>
        <v>35.888888888888886</v>
      </c>
      <c r="S14" s="12">
        <f t="shared" si="6"/>
        <v>92.022792022792018</v>
      </c>
      <c r="T14" s="70">
        <v>39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323</v>
      </c>
      <c r="AM14" s="95">
        <f t="shared" si="11"/>
        <v>9</v>
      </c>
      <c r="AN14" s="11">
        <f t="shared" si="12"/>
        <v>35.888888888888886</v>
      </c>
      <c r="AO14" s="12">
        <f t="shared" si="13"/>
        <v>92.022792022792018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4">SUM(C15:O15)</f>
        <v>374</v>
      </c>
      <c r="Q15" s="11">
        <f t="shared" ref="Q15:Q17" si="15">COUNTIF(C15:O15,"&gt;0")</f>
        <v>6</v>
      </c>
      <c r="R15" s="11">
        <f t="shared" ref="R15:R17" si="16">IF(P15=0," ",P15/Q15)</f>
        <v>62.333333333333336</v>
      </c>
      <c r="S15" s="12">
        <f t="shared" ref="S15:S17" si="17">IF(P15=0," ",P15/(Q15*T15)*100)</f>
        <v>105.64971751412429</v>
      </c>
      <c r="T15" s="70">
        <v>59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374</v>
      </c>
      <c r="AM15" s="95">
        <f t="shared" si="11"/>
        <v>6</v>
      </c>
      <c r="AN15" s="11">
        <f t="shared" si="12"/>
        <v>62.333333333333336</v>
      </c>
      <c r="AO15" s="12">
        <f t="shared" si="13"/>
        <v>105.64971751412429</v>
      </c>
    </row>
    <row r="16" spans="1:41" s="10" customFormat="1" ht="20.100000000000001" customHeight="1" x14ac:dyDescent="0.3">
      <c r="A16" s="26" t="s">
        <v>357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>
        <v>32</v>
      </c>
      <c r="P16" s="13">
        <f t="shared" si="14"/>
        <v>317</v>
      </c>
      <c r="Q16" s="11">
        <f t="shared" si="15"/>
        <v>10</v>
      </c>
      <c r="R16" s="11">
        <f t="shared" si="16"/>
        <v>31.7</v>
      </c>
      <c r="S16" s="12">
        <f t="shared" si="17"/>
        <v>99.0625</v>
      </c>
      <c r="T16" s="70">
        <v>32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317</v>
      </c>
      <c r="AM16" s="95">
        <f t="shared" si="11"/>
        <v>10</v>
      </c>
      <c r="AN16" s="11">
        <f t="shared" si="12"/>
        <v>31.7</v>
      </c>
      <c r="AO16" s="12">
        <f t="shared" si="13"/>
        <v>99.0625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0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228</v>
      </c>
      <c r="M19" s="19">
        <f t="shared" si="19"/>
        <v>255</v>
      </c>
      <c r="N19" s="19">
        <f t="shared" si="19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9">
        <f>SUM(T4:T18)</f>
        <v>463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2830</v>
      </c>
      <c r="AM19" s="18">
        <f>SUM(AM4:AM18)</f>
        <v>78</v>
      </c>
      <c r="AN19" s="18">
        <f t="shared" ref="AN19" si="21">AL19/AM19</f>
        <v>36.282051282051285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O6" sqref="O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21" t="s">
        <v>97</v>
      </c>
      <c r="B2" s="297" t="s">
        <v>42</v>
      </c>
      <c r="C2" s="299" t="s">
        <v>98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99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322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11">
        <f t="shared" ref="R5:R18" si="4">IF(P5=0," ",P5/Q5)</f>
        <v>37.5</v>
      </c>
      <c r="S5" s="12">
        <f t="shared" ref="S5:S18" si="5">IF(P5=0," ",P5/(Q5*B5)*100)</f>
        <v>91.463414634146346</v>
      </c>
      <c r="T5" s="70">
        <v>41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225</v>
      </c>
      <c r="AM5" s="95">
        <f t="shared" ref="AM5:AM18" si="10">Q5+AI5</f>
        <v>6</v>
      </c>
      <c r="AN5" s="11">
        <f t="shared" ref="AN5:AN18" si="11">IF(AL5=0," ",AL5/AM5)</f>
        <v>37.5</v>
      </c>
      <c r="AO5" s="12">
        <f t="shared" ref="AO5:AO18" si="12">IF(AL5=0," ",AL5/(AM5*T5)*100)</f>
        <v>91.463414634146346</v>
      </c>
    </row>
    <row r="6" spans="1:41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>
        <v>37</v>
      </c>
      <c r="P6" s="13">
        <f t="shared" si="2"/>
        <v>198</v>
      </c>
      <c r="Q6" s="11">
        <f t="shared" si="3"/>
        <v>5</v>
      </c>
      <c r="R6" s="11">
        <f t="shared" si="4"/>
        <v>39.6</v>
      </c>
      <c r="S6" s="12">
        <f t="shared" si="5"/>
        <v>104.21052631578947</v>
      </c>
      <c r="T6" s="70">
        <v>38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198</v>
      </c>
      <c r="AM6" s="95">
        <f t="shared" si="10"/>
        <v>5</v>
      </c>
      <c r="AN6" s="11">
        <f t="shared" si="11"/>
        <v>39.6</v>
      </c>
      <c r="AO6" s="12">
        <f t="shared" si="12"/>
        <v>104.21052631578947</v>
      </c>
    </row>
    <row r="7" spans="1:41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>
        <v>33</v>
      </c>
      <c r="P7" s="13">
        <f t="shared" si="2"/>
        <v>316</v>
      </c>
      <c r="Q7" s="11">
        <f t="shared" si="3"/>
        <v>11</v>
      </c>
      <c r="R7" s="11">
        <f t="shared" si="4"/>
        <v>28.727272727272727</v>
      </c>
      <c r="S7" s="12">
        <f t="shared" si="5"/>
        <v>114.90909090909092</v>
      </c>
      <c r="T7" s="70">
        <v>25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316</v>
      </c>
      <c r="AM7" s="95">
        <f t="shared" si="10"/>
        <v>11</v>
      </c>
      <c r="AN7" s="11">
        <f t="shared" si="11"/>
        <v>28.727272727272727</v>
      </c>
      <c r="AO7" s="12">
        <f t="shared" si="12"/>
        <v>114.90909090909092</v>
      </c>
    </row>
    <row r="8" spans="1:41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>
        <v>17</v>
      </c>
      <c r="P8" s="13">
        <f t="shared" si="2"/>
        <v>86.000100000000003</v>
      </c>
      <c r="Q8" s="11">
        <f t="shared" si="3"/>
        <v>8</v>
      </c>
      <c r="R8" s="11">
        <f t="shared" si="4"/>
        <v>10.7500125</v>
      </c>
      <c r="S8" s="12">
        <f t="shared" si="5"/>
        <v>71.666750000000008</v>
      </c>
      <c r="T8" s="70">
        <v>15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86.000100000000003</v>
      </c>
      <c r="AM8" s="95">
        <f t="shared" si="10"/>
        <v>8</v>
      </c>
      <c r="AN8" s="11">
        <f t="shared" si="11"/>
        <v>10.7500125</v>
      </c>
      <c r="AO8" s="12">
        <f t="shared" si="12"/>
        <v>71.666750000000008</v>
      </c>
    </row>
    <row r="9" spans="1:41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11">
        <f t="shared" si="4"/>
        <v>41.875</v>
      </c>
      <c r="S9" s="12">
        <f t="shared" si="5"/>
        <v>107.37179487179486</v>
      </c>
      <c r="T9" s="70">
        <v>39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335</v>
      </c>
      <c r="AM9" s="95">
        <f t="shared" si="10"/>
        <v>8</v>
      </c>
      <c r="AN9" s="11">
        <f t="shared" si="11"/>
        <v>41.875</v>
      </c>
      <c r="AO9" s="12">
        <f t="shared" si="12"/>
        <v>107.37179487179486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11">
        <f t="shared" si="4"/>
        <v>23.4</v>
      </c>
      <c r="S10" s="12">
        <f t="shared" si="5"/>
        <v>101.7391304347826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117</v>
      </c>
      <c r="AM10" s="95">
        <f t="shared" si="10"/>
        <v>5</v>
      </c>
      <c r="AN10" s="11">
        <f t="shared" si="11"/>
        <v>23.4</v>
      </c>
      <c r="AO10" s="12">
        <f t="shared" si="12"/>
        <v>101.7391304347826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>
        <v>67</v>
      </c>
      <c r="P11" s="13">
        <f t="shared" si="2"/>
        <v>657</v>
      </c>
      <c r="Q11" s="11">
        <f t="shared" si="3"/>
        <v>8</v>
      </c>
      <c r="R11" s="11">
        <f t="shared" si="4"/>
        <v>82.125</v>
      </c>
      <c r="S11" s="12">
        <f t="shared" si="5"/>
        <v>128.3203125</v>
      </c>
      <c r="T11" s="70">
        <v>64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657</v>
      </c>
      <c r="AM11" s="95">
        <f t="shared" si="10"/>
        <v>8</v>
      </c>
      <c r="AN11" s="11">
        <f t="shared" si="11"/>
        <v>82.125</v>
      </c>
      <c r="AO11" s="12">
        <f t="shared" si="12"/>
        <v>128.3203125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309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11">
        <f t="shared" si="4"/>
        <v>24.142857142857142</v>
      </c>
      <c r="S13" s="12">
        <f t="shared" si="5"/>
        <v>89.417989417989418</v>
      </c>
      <c r="T13" s="70">
        <v>27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169</v>
      </c>
      <c r="AM13" s="95">
        <f t="shared" si="10"/>
        <v>7</v>
      </c>
      <c r="AN13" s="11">
        <f t="shared" si="11"/>
        <v>24.142857142857142</v>
      </c>
      <c r="AO13" s="12">
        <f t="shared" si="12"/>
        <v>89.417989417989418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101</v>
      </c>
      <c r="AM14" s="95">
        <f t="shared" si="10"/>
        <v>4</v>
      </c>
      <c r="AN14" s="11">
        <f t="shared" si="11"/>
        <v>25.25</v>
      </c>
      <c r="AO14" s="12">
        <f t="shared" si="12"/>
        <v>84.166666666666671</v>
      </c>
    </row>
    <row r="15" spans="1:41" s="10" customFormat="1" ht="20.100000000000001" customHeight="1" x14ac:dyDescent="0.3">
      <c r="A15" s="26" t="s">
        <v>310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>
        <v>19</v>
      </c>
      <c r="P15" s="13">
        <f t="shared" si="2"/>
        <v>118</v>
      </c>
      <c r="Q15" s="11">
        <f t="shared" si="3"/>
        <v>8</v>
      </c>
      <c r="R15" s="11">
        <f t="shared" si="4"/>
        <v>14.75</v>
      </c>
      <c r="S15" s="12">
        <f t="shared" si="5"/>
        <v>92.1875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118</v>
      </c>
      <c r="AM15" s="95">
        <f t="shared" si="10"/>
        <v>8</v>
      </c>
      <c r="AN15" s="11">
        <f t="shared" si="11"/>
        <v>14.75</v>
      </c>
      <c r="AO15" s="12">
        <f t="shared" si="12"/>
        <v>92.1875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278</v>
      </c>
      <c r="M19" s="19">
        <f t="shared" si="14"/>
        <v>227</v>
      </c>
      <c r="N19" s="19">
        <f t="shared" si="14"/>
        <v>224</v>
      </c>
      <c r="O19" s="19">
        <f t="shared" si="14"/>
        <v>205</v>
      </c>
      <c r="P19" s="19">
        <f t="shared" si="14"/>
        <v>2568.0001000000002</v>
      </c>
      <c r="Q19" s="19">
        <f t="shared" si="14"/>
        <v>78</v>
      </c>
      <c r="R19" s="19">
        <f>P19/Q19</f>
        <v>32.923078205128206</v>
      </c>
      <c r="S19" s="22"/>
      <c r="T19" s="179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2568.0001000000002</v>
      </c>
      <c r="AM19" s="18">
        <f>SUM(AM4:AM18)</f>
        <v>78</v>
      </c>
      <c r="AN19" s="18">
        <f t="shared" ref="AN19" si="17">AL19/AM19</f>
        <v>32.923078205128206</v>
      </c>
      <c r="AO19" s="20"/>
    </row>
    <row r="24" spans="1:41" x14ac:dyDescent="0.3">
      <c r="A24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topLeftCell="A2" zoomScale="115" zoomScaleNormal="115" workbookViewId="0">
      <selection activeCell="O10" sqref="O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26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110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311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8">
        <f>IF(P4=0," ",P4/Q4)</f>
        <v>35.333333333333336</v>
      </c>
      <c r="S4" s="94">
        <f>IF(P4=0," ",P4/(Q4*B4)*100)</f>
        <v>92.982456140350877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212</v>
      </c>
      <c r="AM4" s="123">
        <f t="shared" ref="AM4" si="1">Q4+AI4</f>
        <v>6</v>
      </c>
      <c r="AN4" s="8">
        <f>IF(AL4=0," ",AL4/AM4)</f>
        <v>35.333333333333336</v>
      </c>
      <c r="AO4" s="94">
        <f t="shared" ref="AO4" si="2">IF(AL4=0," ",AL4/(AM4*T4)*100)</f>
        <v>92.982456140350877</v>
      </c>
    </row>
    <row r="5" spans="1:41" s="10" customFormat="1" ht="20.100000000000001" customHeight="1" x14ac:dyDescent="0.3">
      <c r="A5" s="26" t="s">
        <v>319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11">
        <f t="shared" ref="R5:R18" si="5">IF(P5=0," ",P5/Q5)</f>
        <v>56</v>
      </c>
      <c r="S5" s="12">
        <f t="shared" ref="S5:S18" si="6">IF(P5=0," ",P5/(Q5*B5)*100)</f>
        <v>96.551724137931032</v>
      </c>
      <c r="T5" s="70">
        <v>58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504</v>
      </c>
      <c r="AM5" s="95">
        <f t="shared" ref="AM5:AM18" si="11">Q5+AI5</f>
        <v>9</v>
      </c>
      <c r="AN5" s="11">
        <f t="shared" ref="AN5:AN18" si="12">IF(AL5=0," ",AL5/AM5)</f>
        <v>56</v>
      </c>
      <c r="AO5" s="12">
        <f t="shared" ref="AO5:AO18" si="13">IF(AL5=0," ",AL5/(AM5*T5)*100)</f>
        <v>96.551724137931032</v>
      </c>
    </row>
    <row r="6" spans="1:41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>
        <v>19</v>
      </c>
      <c r="P6" s="13">
        <f t="shared" si="3"/>
        <v>277</v>
      </c>
      <c r="Q6" s="11">
        <f t="shared" si="4"/>
        <v>10</v>
      </c>
      <c r="R6" s="11">
        <f t="shared" si="5"/>
        <v>27.7</v>
      </c>
      <c r="S6" s="12">
        <f t="shared" si="6"/>
        <v>102.5925925925926</v>
      </c>
      <c r="T6" s="70">
        <v>27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277</v>
      </c>
      <c r="AM6" s="95">
        <f t="shared" si="11"/>
        <v>10</v>
      </c>
      <c r="AN6" s="11">
        <f t="shared" si="12"/>
        <v>27.7</v>
      </c>
      <c r="AO6" s="12">
        <f t="shared" si="13"/>
        <v>102.5925925925926</v>
      </c>
    </row>
    <row r="7" spans="1:41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>
        <v>27</v>
      </c>
      <c r="P7" s="13">
        <f t="shared" si="3"/>
        <v>315</v>
      </c>
      <c r="Q7" s="11">
        <f t="shared" si="4"/>
        <v>9</v>
      </c>
      <c r="R7" s="11">
        <f t="shared" si="5"/>
        <v>35</v>
      </c>
      <c r="S7" s="12">
        <f t="shared" si="6"/>
        <v>116.66666666666667</v>
      </c>
      <c r="T7" s="70">
        <v>30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315</v>
      </c>
      <c r="AM7" s="95">
        <f t="shared" si="11"/>
        <v>9</v>
      </c>
      <c r="AN7" s="11">
        <f t="shared" si="12"/>
        <v>35</v>
      </c>
      <c r="AO7" s="12">
        <f t="shared" si="13"/>
        <v>116.66666666666667</v>
      </c>
    </row>
    <row r="8" spans="1:41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11">
        <f t="shared" si="5"/>
        <v>52.375</v>
      </c>
      <c r="S8" s="12">
        <f t="shared" si="6"/>
        <v>98.820754716981128</v>
      </c>
      <c r="T8" s="70">
        <v>53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419</v>
      </c>
      <c r="AM8" s="95">
        <f t="shared" si="11"/>
        <v>8</v>
      </c>
      <c r="AN8" s="11">
        <f t="shared" si="12"/>
        <v>52.375</v>
      </c>
      <c r="AO8" s="12">
        <f t="shared" si="13"/>
        <v>98.820754716981128</v>
      </c>
    </row>
    <row r="9" spans="1:41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>
        <v>47</v>
      </c>
      <c r="P9" s="13">
        <f t="shared" si="3"/>
        <v>147</v>
      </c>
      <c r="Q9" s="11">
        <f t="shared" si="4"/>
        <v>7</v>
      </c>
      <c r="R9" s="11">
        <f t="shared" si="5"/>
        <v>21</v>
      </c>
      <c r="S9" s="12">
        <f t="shared" si="6"/>
        <v>87.5</v>
      </c>
      <c r="T9" s="70">
        <v>24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147</v>
      </c>
      <c r="AM9" s="95">
        <f t="shared" si="11"/>
        <v>7</v>
      </c>
      <c r="AN9" s="11">
        <f t="shared" si="12"/>
        <v>21</v>
      </c>
      <c r="AO9" s="12">
        <f t="shared" si="13"/>
        <v>87.5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>
        <v>103</v>
      </c>
      <c r="P11" s="13">
        <f t="shared" si="3"/>
        <v>650</v>
      </c>
      <c r="Q11" s="11">
        <f t="shared" si="4"/>
        <v>11</v>
      </c>
      <c r="R11" s="11">
        <f t="shared" si="5"/>
        <v>59.090909090909093</v>
      </c>
      <c r="S11" s="12">
        <f t="shared" si="6"/>
        <v>109.42760942760943</v>
      </c>
      <c r="T11" s="70">
        <v>54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650</v>
      </c>
      <c r="AM11" s="95">
        <f t="shared" si="11"/>
        <v>11</v>
      </c>
      <c r="AN11" s="11">
        <f t="shared" si="12"/>
        <v>59.090909090909093</v>
      </c>
      <c r="AO11" s="12">
        <f t="shared" si="13"/>
        <v>109.42760942760943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>
        <v>41</v>
      </c>
      <c r="P12" s="13">
        <f t="shared" si="3"/>
        <v>359</v>
      </c>
      <c r="Q12" s="11">
        <f t="shared" si="4"/>
        <v>10</v>
      </c>
      <c r="R12" s="11">
        <f t="shared" si="5"/>
        <v>35.9</v>
      </c>
      <c r="S12" s="12">
        <f t="shared" si="6"/>
        <v>97.027027027027017</v>
      </c>
      <c r="T12" s="70">
        <v>37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359</v>
      </c>
      <c r="AM12" s="95">
        <f t="shared" si="11"/>
        <v>10</v>
      </c>
      <c r="AN12" s="11">
        <f t="shared" si="12"/>
        <v>35.9</v>
      </c>
      <c r="AO12" s="12">
        <f t="shared" si="13"/>
        <v>97.027027027027017</v>
      </c>
    </row>
    <row r="13" spans="1:41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191</v>
      </c>
      <c r="M19" s="19">
        <f t="shared" si="15"/>
        <v>289</v>
      </c>
      <c r="N19" s="19">
        <f t="shared" si="15"/>
        <v>261</v>
      </c>
      <c r="O19" s="19">
        <f t="shared" si="15"/>
        <v>331</v>
      </c>
      <c r="P19" s="19">
        <f t="shared" si="15"/>
        <v>3072</v>
      </c>
      <c r="Q19" s="19">
        <f t="shared" si="15"/>
        <v>78</v>
      </c>
      <c r="R19" s="19">
        <f>P19/Q19</f>
        <v>39.384615384615387</v>
      </c>
      <c r="S19" s="22"/>
      <c r="T19" s="179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3072</v>
      </c>
      <c r="AM19" s="18">
        <f>SUM(AM4:AM18)</f>
        <v>78</v>
      </c>
      <c r="AN19" s="18">
        <f t="shared" ref="AN19" si="18">AL19/AM19</f>
        <v>39.384615384615387</v>
      </c>
      <c r="AO19" s="20"/>
    </row>
    <row r="24" spans="1:41" x14ac:dyDescent="0.3">
      <c r="A24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W9" sqref="W9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321" t="s">
        <v>334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118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322"/>
      <c r="B3" s="298"/>
      <c r="C3" s="6">
        <v>1</v>
      </c>
      <c r="D3" s="2">
        <v>2</v>
      </c>
      <c r="E3" s="2">
        <v>3</v>
      </c>
      <c r="F3" s="27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74">
        <v>38</v>
      </c>
      <c r="M4" s="161">
        <v>34</v>
      </c>
      <c r="N4" s="161">
        <v>23</v>
      </c>
      <c r="O4" s="162">
        <v>27</v>
      </c>
      <c r="P4" s="9">
        <f>SUM(C4:O4)</f>
        <v>381</v>
      </c>
      <c r="Q4" s="8">
        <f>COUNTIF(C4:O4,"&gt;0")</f>
        <v>12</v>
      </c>
      <c r="R4" s="8">
        <f>IF(P4=0," ",P4/Q4)</f>
        <v>31.75</v>
      </c>
      <c r="S4" s="94">
        <f>IF(P4=0," ",P4/(Q4*B4)*100)</f>
        <v>102.41935483870968</v>
      </c>
      <c r="T4" s="70">
        <v>31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381</v>
      </c>
      <c r="AM4" s="123">
        <f t="shared" ref="AM4" si="1">Q4+AI4</f>
        <v>12</v>
      </c>
      <c r="AN4" s="8">
        <f>IF(AL4=0," ",AL4/AM4)</f>
        <v>31.75</v>
      </c>
      <c r="AO4" s="94">
        <f>IF(AL4=0," ",AL4/(AM4*T4)*100)</f>
        <v>102.41935483870968</v>
      </c>
    </row>
    <row r="5" spans="1:41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73">
        <v>17</v>
      </c>
      <c r="M5" s="164">
        <v>14</v>
      </c>
      <c r="N5" s="164"/>
      <c r="O5" s="165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11">
        <f t="shared" ref="R5:R18" si="4">IF(P5=0," ",P5/Q5)</f>
        <v>19.444444444444443</v>
      </c>
      <c r="S5" s="12">
        <f t="shared" ref="S5:S18" si="5">IF(P5=0," ",P5/(Q5*B5)*100)</f>
        <v>81.018518518518519</v>
      </c>
      <c r="T5" s="70">
        <v>24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175</v>
      </c>
      <c r="AM5" s="95">
        <f t="shared" ref="AM5:AM18" si="10">Q5+AI5</f>
        <v>9</v>
      </c>
      <c r="AN5" s="11">
        <f t="shared" ref="AN5:AN18" si="11">IF(AL5=0," ",AL5/AM5)</f>
        <v>19.444444444444443</v>
      </c>
      <c r="AO5" s="12">
        <f t="shared" ref="AO5:AO18" si="12">IF(AL5=0," ",AL5/(AM5*T5)*100)</f>
        <v>81.018518518518519</v>
      </c>
    </row>
    <row r="6" spans="1:41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>
        <v>105</v>
      </c>
      <c r="P6" s="13">
        <f t="shared" si="2"/>
        <v>897</v>
      </c>
      <c r="Q6" s="11">
        <f t="shared" si="3"/>
        <v>12</v>
      </c>
      <c r="R6" s="11">
        <f t="shared" si="4"/>
        <v>74.75</v>
      </c>
      <c r="S6" s="12">
        <f t="shared" si="5"/>
        <v>109.9264705882353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897</v>
      </c>
      <c r="AM6" s="95">
        <f t="shared" si="10"/>
        <v>12</v>
      </c>
      <c r="AN6" s="11">
        <f t="shared" si="11"/>
        <v>74.75</v>
      </c>
      <c r="AO6" s="12">
        <f t="shared" si="12"/>
        <v>109.9264705882353</v>
      </c>
    </row>
    <row r="7" spans="1:41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>
        <v>35</v>
      </c>
      <c r="P7" s="13">
        <f t="shared" si="2"/>
        <v>213</v>
      </c>
      <c r="Q7" s="11">
        <f t="shared" si="3"/>
        <v>6</v>
      </c>
      <c r="R7" s="11">
        <f t="shared" si="4"/>
        <v>35.5</v>
      </c>
      <c r="S7" s="12">
        <f t="shared" si="5"/>
        <v>101.42857142857142</v>
      </c>
      <c r="T7" s="70">
        <v>35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213</v>
      </c>
      <c r="AM7" s="95">
        <f t="shared" si="10"/>
        <v>6</v>
      </c>
      <c r="AN7" s="11">
        <f t="shared" si="11"/>
        <v>35.5</v>
      </c>
      <c r="AO7" s="12">
        <f t="shared" si="12"/>
        <v>101.42857142857142</v>
      </c>
    </row>
    <row r="8" spans="1:41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73">
        <v>17</v>
      </c>
      <c r="K8" s="164">
        <v>46</v>
      </c>
      <c r="L8" s="273">
        <v>45</v>
      </c>
      <c r="M8" s="164"/>
      <c r="N8" s="164">
        <v>25</v>
      </c>
      <c r="O8" s="165">
        <v>23</v>
      </c>
      <c r="P8" s="13">
        <f t="shared" si="2"/>
        <v>248</v>
      </c>
      <c r="Q8" s="11">
        <f t="shared" si="3"/>
        <v>8</v>
      </c>
      <c r="R8" s="11">
        <f t="shared" si="4"/>
        <v>31</v>
      </c>
      <c r="S8" s="12">
        <f t="shared" si="5"/>
        <v>88.571428571428569</v>
      </c>
      <c r="T8" s="70">
        <v>35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248</v>
      </c>
      <c r="AM8" s="95">
        <f t="shared" si="10"/>
        <v>8</v>
      </c>
      <c r="AN8" s="11">
        <f t="shared" si="11"/>
        <v>31</v>
      </c>
      <c r="AO8" s="12">
        <f t="shared" si="12"/>
        <v>88.571428571428569</v>
      </c>
    </row>
    <row r="9" spans="1:41" s="10" customFormat="1" ht="20.100000000000001" customHeight="1" x14ac:dyDescent="0.3">
      <c r="A9" s="26" t="s">
        <v>359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328">
        <v>20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81</v>
      </c>
      <c r="AM9" s="95">
        <f t="shared" si="10"/>
        <v>4</v>
      </c>
      <c r="AN9" s="11">
        <f t="shared" si="11"/>
        <v>20.25</v>
      </c>
      <c r="AO9" s="12">
        <f t="shared" si="12"/>
        <v>101.25</v>
      </c>
    </row>
    <row r="10" spans="1:41" s="10" customFormat="1" ht="20.100000000000001" customHeight="1" x14ac:dyDescent="0.3">
      <c r="A10" s="26" t="s">
        <v>360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73">
        <v>26</v>
      </c>
      <c r="M10" s="164">
        <v>10</v>
      </c>
      <c r="N10" s="164">
        <v>11</v>
      </c>
      <c r="O10" s="165">
        <v>15</v>
      </c>
      <c r="P10" s="13">
        <f t="shared" si="2"/>
        <v>173</v>
      </c>
      <c r="Q10" s="11">
        <f t="shared" si="3"/>
        <v>11</v>
      </c>
      <c r="R10" s="11">
        <f t="shared" si="4"/>
        <v>15.727272727272727</v>
      </c>
      <c r="S10" s="12">
        <f t="shared" si="5"/>
        <v>104.84848484848486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173</v>
      </c>
      <c r="AM10" s="95">
        <f t="shared" si="10"/>
        <v>11</v>
      </c>
      <c r="AN10" s="11">
        <f t="shared" si="11"/>
        <v>15.727272727272727</v>
      </c>
      <c r="AO10" s="12">
        <f t="shared" si="12"/>
        <v>104.84848484848486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11">
        <f t="shared" si="4"/>
        <v>16.333333333333332</v>
      </c>
      <c r="S12" s="12">
        <f t="shared" si="5"/>
        <v>85.964912280701753</v>
      </c>
      <c r="T12" s="70">
        <v>19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98</v>
      </c>
      <c r="AM12" s="95">
        <f t="shared" si="10"/>
        <v>6</v>
      </c>
      <c r="AN12" s="11">
        <f t="shared" si="11"/>
        <v>16.333333333333332</v>
      </c>
      <c r="AO12" s="12">
        <f t="shared" si="12"/>
        <v>85.964912280701753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73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11">
        <f t="shared" si="4"/>
        <v>22.875</v>
      </c>
      <c r="S13" s="12">
        <f t="shared" si="5"/>
        <v>99.456521739130437</v>
      </c>
      <c r="T13" s="70">
        <v>23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183</v>
      </c>
      <c r="AM13" s="95">
        <f t="shared" si="10"/>
        <v>8</v>
      </c>
      <c r="AN13" s="11">
        <f t="shared" si="11"/>
        <v>22.875</v>
      </c>
      <c r="AO13" s="12">
        <f t="shared" si="12"/>
        <v>99.456521739130437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>SUM(J4:J18)-J8</f>
        <v>179</v>
      </c>
      <c r="K19" s="19">
        <f t="shared" si="14"/>
        <v>210</v>
      </c>
      <c r="L19" s="19">
        <f>SUM(L4:L18)+J8</f>
        <v>163</v>
      </c>
      <c r="M19" s="19">
        <f t="shared" si="14"/>
        <v>206</v>
      </c>
      <c r="N19" s="19">
        <f t="shared" si="14"/>
        <v>177</v>
      </c>
      <c r="O19" s="19">
        <f t="shared" ref="O19:Q19" si="15">SUM(O4:O18)</f>
        <v>218</v>
      </c>
      <c r="P19" s="19">
        <f t="shared" si="15"/>
        <v>2489</v>
      </c>
      <c r="Q19" s="19">
        <f t="shared" si="15"/>
        <v>78</v>
      </c>
      <c r="R19" s="19">
        <f>P19/Q19</f>
        <v>31.910256410256409</v>
      </c>
      <c r="S19" s="22"/>
      <c r="T19" s="179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2489</v>
      </c>
      <c r="AM19" s="18">
        <f>SUM(AM4:AM18)</f>
        <v>78</v>
      </c>
      <c r="AN19" s="18">
        <f t="shared" ref="AN19" si="18">AL19/AM19</f>
        <v>31.910256410256409</v>
      </c>
      <c r="AO19" s="20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Normal="100" workbookViewId="0">
      <selection activeCell="T13" sqref="T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28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128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8">
        <f>IF(P4=0," ",P4/Q4)</f>
        <v>30</v>
      </c>
      <c r="S4" s="94">
        <f>IF(P4=0," ",P4/(Q4*B4)*100)</f>
        <v>125</v>
      </c>
      <c r="T4" s="70">
        <v>24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210</v>
      </c>
      <c r="AM4" s="123">
        <f t="shared" ref="AM4" si="1">Q4+AI4</f>
        <v>7</v>
      </c>
      <c r="AN4" s="8">
        <f>IF(AL4=0," ",AL4/AM4)</f>
        <v>30</v>
      </c>
      <c r="AO4" s="94">
        <f>IF(AL4=0," ",AL4/(AM4*T4)*100)</f>
        <v>125</v>
      </c>
    </row>
    <row r="5" spans="1:41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11">
        <f t="shared" ref="R5:R18" si="4">IF(P5=0," ",P5/Q5)</f>
        <v>31</v>
      </c>
      <c r="S5" s="12">
        <f t="shared" ref="S5:S18" si="5">IF(P5=0," ",P5/(Q5*B5)*100)</f>
        <v>114.81481481481481</v>
      </c>
      <c r="T5" s="70">
        <v>27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155</v>
      </c>
      <c r="AM5" s="95">
        <f t="shared" ref="AM5:AM18" si="10">Q5+AI5</f>
        <v>5</v>
      </c>
      <c r="AN5" s="11">
        <f t="shared" ref="AN5:AN18" si="11">IF(AL5=0," ",AL5/AM5)</f>
        <v>31</v>
      </c>
      <c r="AO5" s="12">
        <f t="shared" ref="AO5:AO18" si="12">IF(AL5=0," ",AL5/(AM5*T5)*100)</f>
        <v>114.81481481481481</v>
      </c>
    </row>
    <row r="6" spans="1:41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11">
        <f t="shared" si="4"/>
        <v>30.75</v>
      </c>
      <c r="S7" s="12">
        <f t="shared" si="5"/>
        <v>106.03448275862068</v>
      </c>
      <c r="T7" s="70">
        <v>29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246</v>
      </c>
      <c r="AM7" s="95">
        <f t="shared" si="10"/>
        <v>8</v>
      </c>
      <c r="AN7" s="11">
        <f t="shared" si="11"/>
        <v>30.75</v>
      </c>
      <c r="AO7" s="12">
        <f t="shared" si="12"/>
        <v>106.03448275862068</v>
      </c>
    </row>
    <row r="8" spans="1:41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11">
        <f t="shared" si="4"/>
        <v>15</v>
      </c>
      <c r="S8" s="12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11">
        <f t="shared" si="11"/>
        <v>15</v>
      </c>
      <c r="AO8" s="12">
        <f t="shared" si="12"/>
        <v>88.235294117647058</v>
      </c>
    </row>
    <row r="9" spans="1:41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>
        <v>29</v>
      </c>
      <c r="P9" s="13">
        <f t="shared" si="2"/>
        <v>128</v>
      </c>
      <c r="Q9" s="11">
        <f t="shared" si="3"/>
        <v>7</v>
      </c>
      <c r="R9" s="11">
        <f t="shared" si="4"/>
        <v>18.285714285714285</v>
      </c>
      <c r="S9" s="12">
        <f t="shared" si="5"/>
        <v>101.58730158730158</v>
      </c>
      <c r="T9" s="70">
        <v>18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128</v>
      </c>
      <c r="AM9" s="95">
        <f t="shared" si="10"/>
        <v>7</v>
      </c>
      <c r="AN9" s="11">
        <f t="shared" si="11"/>
        <v>18.285714285714285</v>
      </c>
      <c r="AO9" s="12">
        <f t="shared" si="12"/>
        <v>101.58730158730158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>
        <v>27</v>
      </c>
      <c r="P10" s="13">
        <f t="shared" si="2"/>
        <v>127</v>
      </c>
      <c r="Q10" s="11">
        <f t="shared" si="3"/>
        <v>6</v>
      </c>
      <c r="R10" s="11">
        <f t="shared" si="4"/>
        <v>21.166666666666668</v>
      </c>
      <c r="S10" s="12">
        <f t="shared" si="5"/>
        <v>75.595238095238088</v>
      </c>
      <c r="T10" s="70">
        <v>28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127</v>
      </c>
      <c r="AM10" s="95">
        <f t="shared" si="10"/>
        <v>6</v>
      </c>
      <c r="AN10" s="11">
        <f t="shared" si="11"/>
        <v>21.166666666666668</v>
      </c>
      <c r="AO10" s="12">
        <f t="shared" si="12"/>
        <v>75.595238095238088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11">
        <f t="shared" si="4"/>
        <v>63</v>
      </c>
      <c r="S11" s="12">
        <f t="shared" si="5"/>
        <v>101.61290322580645</v>
      </c>
      <c r="T11" s="70">
        <v>62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315</v>
      </c>
      <c r="AM11" s="95">
        <f t="shared" si="10"/>
        <v>5</v>
      </c>
      <c r="AN11" s="11">
        <f t="shared" si="11"/>
        <v>63</v>
      </c>
      <c r="AO11" s="12">
        <f t="shared" si="12"/>
        <v>101.61290322580645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11">
        <f t="shared" si="4"/>
        <v>27.8</v>
      </c>
      <c r="S12" s="12">
        <f t="shared" si="5"/>
        <v>111.20000000000002</v>
      </c>
      <c r="T12" s="70">
        <v>25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139</v>
      </c>
      <c r="AM12" s="95">
        <f t="shared" si="10"/>
        <v>5</v>
      </c>
      <c r="AN12" s="11">
        <f t="shared" si="11"/>
        <v>27.8</v>
      </c>
      <c r="AO12" s="12">
        <f t="shared" si="12"/>
        <v>111.20000000000002</v>
      </c>
    </row>
    <row r="13" spans="1:41" s="10" customFormat="1" ht="20.100000000000001" customHeight="1" x14ac:dyDescent="0.3">
      <c r="A13" s="26" t="s">
        <v>370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11">
        <f t="shared" si="4"/>
        <v>25.4</v>
      </c>
      <c r="S13" s="12">
        <f t="shared" si="5"/>
        <v>97.692307692307693</v>
      </c>
      <c r="T13" s="328">
        <v>25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127</v>
      </c>
      <c r="AM13" s="95">
        <f t="shared" si="10"/>
        <v>5</v>
      </c>
      <c r="AN13" s="11">
        <f t="shared" si="11"/>
        <v>25.4</v>
      </c>
      <c r="AO13" s="12">
        <f t="shared" si="12"/>
        <v>101.6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>
        <v>49</v>
      </c>
      <c r="P14" s="13">
        <f t="shared" si="2"/>
        <v>200</v>
      </c>
      <c r="Q14" s="11">
        <f t="shared" si="3"/>
        <v>7</v>
      </c>
      <c r="R14" s="11">
        <f t="shared" si="4"/>
        <v>28.571428571428573</v>
      </c>
      <c r="S14" s="12">
        <f t="shared" si="5"/>
        <v>84.033613445378151</v>
      </c>
      <c r="T14" s="70">
        <v>34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200</v>
      </c>
      <c r="AM14" s="95">
        <f t="shared" si="10"/>
        <v>7</v>
      </c>
      <c r="AN14" s="11">
        <f t="shared" si="11"/>
        <v>28.571428571428573</v>
      </c>
      <c r="AO14" s="12">
        <f t="shared" si="12"/>
        <v>84.033613445378151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>
        <v>11</v>
      </c>
      <c r="P15" s="13">
        <f t="shared" si="2"/>
        <v>120</v>
      </c>
      <c r="Q15" s="11">
        <f t="shared" si="3"/>
        <v>7</v>
      </c>
      <c r="R15" s="11">
        <f t="shared" si="4"/>
        <v>17.142857142857142</v>
      </c>
      <c r="S15" s="12">
        <f t="shared" si="5"/>
        <v>100.84033613445378</v>
      </c>
      <c r="T15" s="70">
        <v>17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120</v>
      </c>
      <c r="AM15" s="95">
        <f t="shared" si="10"/>
        <v>7</v>
      </c>
      <c r="AN15" s="11">
        <f t="shared" si="11"/>
        <v>17.142857142857142</v>
      </c>
      <c r="AO15" s="12">
        <f t="shared" si="12"/>
        <v>100.84033613445378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>
        <v>41</v>
      </c>
      <c r="P17" s="13">
        <f t="shared" si="2"/>
        <v>260</v>
      </c>
      <c r="Q17" s="11">
        <f t="shared" si="3"/>
        <v>6</v>
      </c>
      <c r="R17" s="11">
        <f t="shared" si="4"/>
        <v>43.333333333333336</v>
      </c>
      <c r="S17" s="12">
        <f t="shared" si="5"/>
        <v>117.11711711711712</v>
      </c>
      <c r="T17" s="70">
        <v>37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260</v>
      </c>
      <c r="AM17" s="95">
        <f t="shared" si="10"/>
        <v>6</v>
      </c>
      <c r="AN17" s="11">
        <f t="shared" si="11"/>
        <v>43.333333333333336</v>
      </c>
      <c r="AO17" s="12">
        <f t="shared" si="12"/>
        <v>117.11711711711712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177</v>
      </c>
      <c r="M19" s="19">
        <f t="shared" si="13"/>
        <v>168</v>
      </c>
      <c r="N19" s="19">
        <f t="shared" si="13"/>
        <v>151</v>
      </c>
      <c r="O19" s="19">
        <f t="shared" si="13"/>
        <v>199</v>
      </c>
      <c r="P19" s="19">
        <f t="shared" si="13"/>
        <v>2393</v>
      </c>
      <c r="Q19" s="19">
        <f>SUM(Q4:Q15)</f>
        <v>69</v>
      </c>
      <c r="R19" s="19">
        <f>P19/Q19</f>
        <v>34.681159420289852</v>
      </c>
      <c r="S19" s="22"/>
      <c r="T19" s="179">
        <f>SUM(T4:T18)</f>
        <v>455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2393</v>
      </c>
      <c r="AM19" s="18">
        <f>SUM(AM4:AM18)</f>
        <v>78</v>
      </c>
      <c r="AN19" s="18">
        <f t="shared" ref="AN19" si="16">AL19/AM19</f>
        <v>30.679487179487179</v>
      </c>
      <c r="AO19" s="20"/>
    </row>
    <row r="24" spans="1:41" x14ac:dyDescent="0.3">
      <c r="A24"/>
    </row>
  </sheetData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topLeftCell="A2" zoomScale="115" zoomScaleNormal="115" workbookViewId="0">
      <selection activeCell="AC11" sqref="AC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5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5" ht="121.5" customHeight="1" thickBot="1" x14ac:dyDescent="0.35">
      <c r="A2" s="321" t="s">
        <v>142</v>
      </c>
      <c r="B2" s="297" t="s">
        <v>42</v>
      </c>
      <c r="C2" s="299" t="s">
        <v>98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99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5" ht="15" customHeight="1" thickBot="1" x14ac:dyDescent="0.35">
      <c r="A3" s="322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>
        <v>23</v>
      </c>
      <c r="P4" s="9">
        <f>SUM(C4:O4)</f>
        <v>363</v>
      </c>
      <c r="Q4" s="8">
        <f>COUNTIF(C4:O4,"&gt;0")</f>
        <v>9</v>
      </c>
      <c r="R4" s="8">
        <f>IF(P4=0," ",P4/Q4)</f>
        <v>40.333333333333336</v>
      </c>
      <c r="S4" s="94">
        <f>IF(P4=0," ",P4/(Q4*B4)*100)</f>
        <v>106.14035087719299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363</v>
      </c>
      <c r="AM4" s="123">
        <f t="shared" ref="AM4" si="1">Q4+AI4</f>
        <v>9</v>
      </c>
      <c r="AN4" s="8">
        <f>IF(AL4=0," ",AL4/AM4)</f>
        <v>40.333333333333336</v>
      </c>
      <c r="AO4" s="94">
        <f>IF(AL4=0," ",AL4/(AM4*T4)*100)</f>
        <v>106.14035087719299</v>
      </c>
      <c r="AS4" s="225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11">
        <f t="shared" ref="R5:R18" si="4">IF(P5=0," ",P5/Q5)</f>
        <v>18.857142857142858</v>
      </c>
      <c r="S5" s="12">
        <f t="shared" ref="S5:S18" si="5">IF(P5=0," ",P5/(Q5*B5)*100)</f>
        <v>94.285714285714278</v>
      </c>
      <c r="T5" s="70">
        <v>20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132</v>
      </c>
      <c r="AM5" s="95">
        <f t="shared" ref="AM5:AM18" si="10">Q5+AI5</f>
        <v>7</v>
      </c>
      <c r="AN5" s="11">
        <f t="shared" ref="AN5:AN18" si="11">IF(AL5=0," ",AL5/AM5)</f>
        <v>18.857142857142858</v>
      </c>
      <c r="AO5" s="12">
        <f t="shared" ref="AO5:AO18" si="12">IF(AL5=0," ",AL5/(AM5*T5)*100)</f>
        <v>94.285714285714278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11">
        <f t="shared" si="4"/>
        <v>12.111111111111111</v>
      </c>
      <c r="S6" s="12">
        <f t="shared" si="5"/>
        <v>80.740740740740748</v>
      </c>
      <c r="T6" s="70">
        <v>15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9</v>
      </c>
      <c r="AN6" s="11">
        <f t="shared" si="11"/>
        <v>12.111111111111111</v>
      </c>
      <c r="AO6" s="12">
        <f t="shared" si="12"/>
        <v>80.740740740740748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11">
        <f t="shared" si="4"/>
        <v>73.8</v>
      </c>
      <c r="S7" s="12">
        <f t="shared" si="5"/>
        <v>93.417721518987335</v>
      </c>
      <c r="T7" s="70">
        <v>79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738</v>
      </c>
      <c r="AM7" s="95">
        <f t="shared" si="10"/>
        <v>10</v>
      </c>
      <c r="AN7" s="11">
        <f t="shared" si="11"/>
        <v>73.8</v>
      </c>
      <c r="AO7" s="12">
        <f t="shared" si="12"/>
        <v>93.417721518987335</v>
      </c>
    </row>
    <row r="8" spans="1:45" s="10" customFormat="1" ht="20.100000000000001" customHeight="1" x14ac:dyDescent="0.3">
      <c r="A8" s="26" t="s">
        <v>312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>
        <v>27</v>
      </c>
      <c r="P9" s="13">
        <f t="shared" si="2"/>
        <v>484</v>
      </c>
      <c r="Q9" s="11">
        <f t="shared" si="3"/>
        <v>11</v>
      </c>
      <c r="R9" s="11">
        <f t="shared" si="4"/>
        <v>44</v>
      </c>
      <c r="S9" s="12">
        <f t="shared" si="5"/>
        <v>118.91891891891892</v>
      </c>
      <c r="T9" s="70">
        <v>37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484</v>
      </c>
      <c r="AM9" s="95">
        <f t="shared" si="10"/>
        <v>11</v>
      </c>
      <c r="AN9" s="11">
        <f t="shared" si="11"/>
        <v>44</v>
      </c>
      <c r="AO9" s="224">
        <f t="shared" si="12"/>
        <v>118.91891891891892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11">
        <f t="shared" si="4"/>
        <v>24.333333333333332</v>
      </c>
      <c r="S10" s="12">
        <f t="shared" si="5"/>
        <v>121.66666666666666</v>
      </c>
      <c r="T10" s="70">
        <v>20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146</v>
      </c>
      <c r="AM10" s="95">
        <f t="shared" si="10"/>
        <v>6</v>
      </c>
      <c r="AN10" s="11">
        <f t="shared" si="11"/>
        <v>24.333333333333332</v>
      </c>
      <c r="AO10" s="12">
        <f t="shared" si="12"/>
        <v>121.66666666666666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>
        <v>16</v>
      </c>
      <c r="P13" s="13">
        <f t="shared" si="2"/>
        <v>211</v>
      </c>
      <c r="Q13" s="11">
        <f t="shared" si="3"/>
        <v>8</v>
      </c>
      <c r="R13" s="11">
        <f t="shared" si="4"/>
        <v>26.375</v>
      </c>
      <c r="S13" s="12">
        <f t="shared" si="5"/>
        <v>109.89583333333333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211</v>
      </c>
      <c r="AM13" s="95">
        <f t="shared" si="10"/>
        <v>8</v>
      </c>
      <c r="AN13" s="11">
        <f t="shared" si="11"/>
        <v>26.375</v>
      </c>
      <c r="AO13" s="12">
        <f t="shared" si="12"/>
        <v>109.89583333333333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>
        <v>22</v>
      </c>
      <c r="P14" s="13">
        <f t="shared" si="2"/>
        <v>113</v>
      </c>
      <c r="Q14" s="11">
        <f t="shared" si="3"/>
        <v>5</v>
      </c>
      <c r="R14" s="11">
        <f t="shared" si="4"/>
        <v>22.6</v>
      </c>
      <c r="S14" s="12">
        <f t="shared" si="5"/>
        <v>102.72727272727273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113</v>
      </c>
      <c r="AM14" s="95">
        <f t="shared" si="10"/>
        <v>5</v>
      </c>
      <c r="AN14" s="11">
        <f t="shared" si="11"/>
        <v>22.6</v>
      </c>
      <c r="AO14" s="12">
        <f t="shared" si="12"/>
        <v>102.72727272727273</v>
      </c>
    </row>
    <row r="15" spans="1:45" s="10" customFormat="1" ht="20.100000000000001" customHeight="1" x14ac:dyDescent="0.3">
      <c r="A15" s="26" t="s">
        <v>313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>
        <v>25</v>
      </c>
      <c r="P15" s="13">
        <f t="shared" si="2"/>
        <v>160</v>
      </c>
      <c r="Q15" s="11">
        <f t="shared" si="3"/>
        <v>7</v>
      </c>
      <c r="R15" s="11">
        <f t="shared" si="4"/>
        <v>22.857142857142858</v>
      </c>
      <c r="S15" s="12">
        <f t="shared" si="5"/>
        <v>99.378881987577643</v>
      </c>
      <c r="T15" s="70">
        <v>23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160</v>
      </c>
      <c r="AM15" s="95">
        <f t="shared" si="10"/>
        <v>7</v>
      </c>
      <c r="AN15" s="11">
        <f t="shared" si="11"/>
        <v>22.857142857142858</v>
      </c>
      <c r="AO15" s="12">
        <f t="shared" si="12"/>
        <v>99.378881987577643</v>
      </c>
    </row>
    <row r="16" spans="1:45" s="10" customFormat="1" ht="20.100000000000001" customHeight="1" x14ac:dyDescent="0.3">
      <c r="A16" s="26" t="s">
        <v>127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224</v>
      </c>
      <c r="M19" s="19">
        <f t="shared" si="14"/>
        <v>200</v>
      </c>
      <c r="N19" s="19">
        <f t="shared" si="14"/>
        <v>186</v>
      </c>
      <c r="O19" s="19">
        <f t="shared" si="14"/>
        <v>140</v>
      </c>
      <c r="P19" s="19">
        <f t="shared" si="14"/>
        <v>2620</v>
      </c>
      <c r="Q19" s="19">
        <f t="shared" si="14"/>
        <v>78</v>
      </c>
      <c r="R19" s="19">
        <f>P19/Q19</f>
        <v>33.589743589743591</v>
      </c>
      <c r="S19" s="22"/>
      <c r="T19" s="179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2620</v>
      </c>
      <c r="AM19" s="18">
        <f>SUM(AM4:AM15)</f>
        <v>78</v>
      </c>
      <c r="AN19" s="18">
        <f t="shared" ref="AN19" si="17">AL19/AM19</f>
        <v>33.589743589743591</v>
      </c>
      <c r="AO19" s="20"/>
    </row>
    <row r="24" spans="1:41" x14ac:dyDescent="0.3">
      <c r="A24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zoomScale="115" zoomScaleNormal="115" workbookViewId="0">
      <selection activeCell="O8" sqref="O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30</v>
      </c>
      <c r="B2" s="297" t="s">
        <v>42</v>
      </c>
      <c r="C2" s="299" t="s">
        <v>153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77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8">
        <f>IF(P4=0," ",P4/Q4)</f>
        <v>20</v>
      </c>
      <c r="S4" s="94">
        <f t="shared" ref="S4" si="0">IF(P4=0," ",P4/(Q4*T4)*100)</f>
        <v>105.26315789473684</v>
      </c>
      <c r="T4" s="70">
        <v>19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180</v>
      </c>
      <c r="AM4" s="123">
        <f t="shared" ref="AM4" si="2">Q4+AI4</f>
        <v>9</v>
      </c>
      <c r="AN4" s="8">
        <f>IF(AL4=0," ",AL4/AM4)</f>
        <v>20</v>
      </c>
      <c r="AO4" s="94">
        <f>IF(AL4=0," ",AL4/(AM4*T4)*100)</f>
        <v>105.26315789473684</v>
      </c>
    </row>
    <row r="5" spans="1:41" s="10" customFormat="1" ht="20.100000000000001" customHeight="1" x14ac:dyDescent="0.3">
      <c r="A5" s="26" t="s">
        <v>314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11">
        <f t="shared" ref="R5:R18" si="5">IF(P5=0," ",P5/Q5)</f>
        <v>14.4</v>
      </c>
      <c r="S5" s="12">
        <f t="shared" ref="S5:S18" si="6">IF(P5=0," ",P5/(Q5*T5)*100)</f>
        <v>80</v>
      </c>
      <c r="T5" s="70">
        <v>18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144</v>
      </c>
      <c r="AM5" s="95">
        <f t="shared" ref="AM5:AM18" si="11">Q5+AI5</f>
        <v>10</v>
      </c>
      <c r="AN5" s="11">
        <f t="shared" ref="AN5:AN18" si="12">IF(AL5=0," ",AL5/AM5)</f>
        <v>14.4</v>
      </c>
      <c r="AO5" s="12">
        <f t="shared" ref="AO5:AO18" si="13">IF(AL5=0," ",AL5/(AM5*T5)*100)</f>
        <v>80</v>
      </c>
    </row>
    <row r="6" spans="1:41" s="10" customFormat="1" ht="20.100000000000001" customHeight="1" x14ac:dyDescent="0.3">
      <c r="A6" s="69" t="s">
        <v>363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332</v>
      </c>
      <c r="AM6" s="95">
        <f t="shared" si="11"/>
        <v>6</v>
      </c>
      <c r="AN6" s="11">
        <f t="shared" si="12"/>
        <v>55.333333333333336</v>
      </c>
      <c r="AO6" s="12">
        <f t="shared" si="13"/>
        <v>81.372549019607845</v>
      </c>
    </row>
    <row r="7" spans="1:41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>
        <v>20</v>
      </c>
      <c r="P7" s="13">
        <f t="shared" si="3"/>
        <v>185</v>
      </c>
      <c r="Q7" s="11">
        <f t="shared" si="4"/>
        <v>7</v>
      </c>
      <c r="R7" s="11">
        <f t="shared" si="5"/>
        <v>26.428571428571427</v>
      </c>
      <c r="S7" s="12">
        <f t="shared" si="6"/>
        <v>110.11904761904762</v>
      </c>
      <c r="T7" s="70">
        <v>24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185</v>
      </c>
      <c r="AM7" s="95">
        <f t="shared" si="11"/>
        <v>7</v>
      </c>
      <c r="AN7" s="11">
        <f t="shared" si="12"/>
        <v>26.428571428571427</v>
      </c>
      <c r="AO7" s="12">
        <f t="shared" si="13"/>
        <v>110.11904761904762</v>
      </c>
    </row>
    <row r="8" spans="1:41" s="10" customFormat="1" ht="20.100000000000001" customHeight="1" x14ac:dyDescent="0.3">
      <c r="A8" s="26" t="s">
        <v>315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>
        <v>36</v>
      </c>
      <c r="P8" s="13">
        <f t="shared" si="3"/>
        <v>209</v>
      </c>
      <c r="Q8" s="11">
        <f t="shared" si="4"/>
        <v>7</v>
      </c>
      <c r="R8" s="11">
        <f t="shared" si="5"/>
        <v>29.857142857142858</v>
      </c>
      <c r="S8" s="12">
        <f t="shared" si="6"/>
        <v>90.476190476190482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209</v>
      </c>
      <c r="AM8" s="95">
        <f t="shared" si="11"/>
        <v>7</v>
      </c>
      <c r="AN8" s="11">
        <f t="shared" si="12"/>
        <v>29.857142857142858</v>
      </c>
      <c r="AO8" s="12">
        <f t="shared" si="13"/>
        <v>90.476190476190482</v>
      </c>
    </row>
    <row r="9" spans="1:41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>
        <v>26</v>
      </c>
      <c r="P9" s="13">
        <f t="shared" si="3"/>
        <v>190</v>
      </c>
      <c r="Q9" s="11">
        <f t="shared" si="4"/>
        <v>9</v>
      </c>
      <c r="R9" s="11">
        <f t="shared" si="5"/>
        <v>21.111111111111111</v>
      </c>
      <c r="S9" s="12">
        <f t="shared" si="6"/>
        <v>100.52910052910053</v>
      </c>
      <c r="T9" s="70">
        <v>21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190</v>
      </c>
      <c r="AM9" s="95">
        <f t="shared" si="11"/>
        <v>9</v>
      </c>
      <c r="AN9" s="11">
        <f t="shared" si="12"/>
        <v>21.111111111111111</v>
      </c>
      <c r="AO9" s="12">
        <f t="shared" si="13"/>
        <v>100.52910052910053</v>
      </c>
    </row>
    <row r="10" spans="1:41" s="10" customFormat="1" ht="20.100000000000001" customHeight="1" x14ac:dyDescent="0.3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>
        <v>22</v>
      </c>
      <c r="P11" s="13">
        <f t="shared" si="3"/>
        <v>161</v>
      </c>
      <c r="Q11" s="11">
        <f t="shared" si="4"/>
        <v>8</v>
      </c>
      <c r="R11" s="11">
        <f t="shared" si="5"/>
        <v>20.125</v>
      </c>
      <c r="S11" s="12">
        <f t="shared" si="6"/>
        <v>74.537037037037038</v>
      </c>
      <c r="T11" s="70">
        <v>27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161</v>
      </c>
      <c r="AM11" s="95">
        <f t="shared" si="11"/>
        <v>8</v>
      </c>
      <c r="AN11" s="11">
        <f t="shared" si="12"/>
        <v>20.125</v>
      </c>
      <c r="AO11" s="12">
        <f t="shared" si="13"/>
        <v>74.537037037037038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>
        <v>22</v>
      </c>
      <c r="P12" s="13">
        <f t="shared" si="3"/>
        <v>329</v>
      </c>
      <c r="Q12" s="11">
        <f t="shared" si="4"/>
        <v>11</v>
      </c>
      <c r="R12" s="11">
        <f t="shared" si="5"/>
        <v>29.90909090909091</v>
      </c>
      <c r="S12" s="12">
        <f t="shared" si="6"/>
        <v>87.967914438502675</v>
      </c>
      <c r="T12" s="70">
        <v>34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329</v>
      </c>
      <c r="AM12" s="95">
        <f t="shared" si="11"/>
        <v>11</v>
      </c>
      <c r="AN12" s="11">
        <f t="shared" si="12"/>
        <v>29.90909090909091</v>
      </c>
      <c r="AO12" s="12">
        <f t="shared" si="13"/>
        <v>87.967914438502675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>
        <v>24</v>
      </c>
      <c r="P13" s="13">
        <f t="shared" si="3"/>
        <v>254</v>
      </c>
      <c r="Q13" s="11">
        <f t="shared" si="4"/>
        <v>9</v>
      </c>
      <c r="R13" s="11">
        <f t="shared" si="5"/>
        <v>28.222222222222221</v>
      </c>
      <c r="S13" s="12">
        <f t="shared" si="6"/>
        <v>80.634920634920633</v>
      </c>
      <c r="T13" s="70">
        <v>35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254</v>
      </c>
      <c r="AM13" s="95">
        <f t="shared" si="11"/>
        <v>9</v>
      </c>
      <c r="AN13" s="11">
        <f t="shared" si="12"/>
        <v>28.222222222222221</v>
      </c>
      <c r="AO13" s="12">
        <f t="shared" si="13"/>
        <v>80.634920634920633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108</v>
      </c>
      <c r="M19" s="19">
        <f t="shared" si="16"/>
        <v>105</v>
      </c>
      <c r="N19" s="19">
        <f t="shared" si="16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9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2050</v>
      </c>
      <c r="AM19" s="18">
        <f>SUM(AM4:AM18)</f>
        <v>78</v>
      </c>
      <c r="AN19" s="18">
        <f t="shared" ref="AN19" si="18">AL19/AM19</f>
        <v>26.282051282051281</v>
      </c>
      <c r="AO19" s="20"/>
    </row>
    <row r="24" spans="1:41" x14ac:dyDescent="0.3">
      <c r="A24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topLeftCell="A2" zoomScale="110" zoomScaleNormal="110" workbookViewId="0">
      <selection activeCell="T14" sqref="T14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73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31</v>
      </c>
      <c r="B2" s="297" t="s">
        <v>42</v>
      </c>
      <c r="C2" s="299" t="s">
        <v>43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161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11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298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>
        <v>11</v>
      </c>
      <c r="P4" s="9">
        <f>SUM(C4:O4)</f>
        <v>81</v>
      </c>
      <c r="Q4" s="8">
        <f>COUNTIF(C4:O4,"&gt;0")</f>
        <v>5</v>
      </c>
      <c r="R4" s="8">
        <f>IF(P4=0," ",P4/Q4)</f>
        <v>16.2</v>
      </c>
      <c r="S4" s="94">
        <f t="shared" ref="S4" si="0">IF(P4=0," ",P4/(Q4*T4)*100)</f>
        <v>108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81</v>
      </c>
      <c r="AM4" s="123">
        <f>Q4+AI4</f>
        <v>5</v>
      </c>
      <c r="AN4" s="8">
        <f>IF(AL4=0," ",AL4/AM4)</f>
        <v>16.2</v>
      </c>
      <c r="AO4" s="94">
        <f>IF(AL4=0," ",AL4/(AM4*T4)*100)</f>
        <v>108</v>
      </c>
    </row>
    <row r="5" spans="1:41" s="10" customFormat="1" ht="20.100000000000001" customHeight="1" x14ac:dyDescent="0.3">
      <c r="A5" s="26" t="s">
        <v>299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11">
        <f t="shared" ref="R5:R18" si="3">IF(P5=0," ",P5/Q5)</f>
        <v>55.428571428571431</v>
      </c>
      <c r="S5" s="12">
        <f t="shared" ref="S5:S18" si="4">IF(P5=0," ",P5/(Q5*T5)*100)</f>
        <v>93.946731234866832</v>
      </c>
      <c r="T5" s="70">
        <v>59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388</v>
      </c>
      <c r="AM5" s="95">
        <f t="shared" ref="AM5:AM18" si="9">Q5+AI5</f>
        <v>7</v>
      </c>
      <c r="AN5" s="11">
        <f t="shared" ref="AN5:AN18" si="10">IF(AL5=0," ",AL5/AM5)</f>
        <v>55.428571428571431</v>
      </c>
      <c r="AO5" s="12">
        <f t="shared" ref="AO5:AO18" si="11">IF(AL5=0," ",AL5/(AM5*T5)*100)</f>
        <v>93.946731234866832</v>
      </c>
    </row>
    <row r="6" spans="1:41" s="10" customFormat="1" ht="20.100000000000001" customHeight="1" x14ac:dyDescent="0.3">
      <c r="A6" s="26" t="s">
        <v>300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11">
        <f t="shared" si="3"/>
        <v>33</v>
      </c>
      <c r="S6" s="12">
        <f t="shared" si="4"/>
        <v>132</v>
      </c>
      <c r="T6" s="70">
        <v>25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297</v>
      </c>
      <c r="AM6" s="95">
        <f t="shared" si="9"/>
        <v>9</v>
      </c>
      <c r="AN6" s="11">
        <f t="shared" si="10"/>
        <v>33</v>
      </c>
      <c r="AO6" s="12">
        <f t="shared" si="11"/>
        <v>132</v>
      </c>
    </row>
    <row r="7" spans="1:41" s="10" customFormat="1" ht="20.100000000000001" customHeight="1" x14ac:dyDescent="0.3">
      <c r="A7" s="26" t="s">
        <v>301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11">
        <f t="shared" si="3"/>
        <v>32.75</v>
      </c>
      <c r="S7" s="12">
        <f t="shared" si="4"/>
        <v>105.64516129032258</v>
      </c>
      <c r="T7" s="70">
        <v>31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262</v>
      </c>
      <c r="AM7" s="95">
        <f t="shared" si="9"/>
        <v>8</v>
      </c>
      <c r="AN7" s="11">
        <f t="shared" si="10"/>
        <v>32.75</v>
      </c>
      <c r="AO7" s="12">
        <f t="shared" si="11"/>
        <v>105.64516129032258</v>
      </c>
    </row>
    <row r="8" spans="1:41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>
        <v>29</v>
      </c>
      <c r="P8" s="13">
        <f t="shared" si="1"/>
        <v>296</v>
      </c>
      <c r="Q8" s="11">
        <f t="shared" si="2"/>
        <v>7</v>
      </c>
      <c r="R8" s="11">
        <f t="shared" si="3"/>
        <v>42.285714285714285</v>
      </c>
      <c r="S8" s="12">
        <f t="shared" si="4"/>
        <v>105.71428571428572</v>
      </c>
      <c r="T8" s="70">
        <v>40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296</v>
      </c>
      <c r="AM8" s="95">
        <f t="shared" si="9"/>
        <v>7</v>
      </c>
      <c r="AN8" s="11">
        <f t="shared" si="10"/>
        <v>42.285714285714285</v>
      </c>
      <c r="AO8" s="12">
        <f t="shared" si="11"/>
        <v>105.71428571428572</v>
      </c>
    </row>
    <row r="9" spans="1:41" s="10" customFormat="1" ht="20.100000000000001" customHeight="1" x14ac:dyDescent="0.3">
      <c r="A9" s="26" t="s">
        <v>302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11">
        <f t="shared" si="3"/>
        <v>24.2</v>
      </c>
      <c r="S9" s="12">
        <f t="shared" si="4"/>
        <v>71.17647058823529</v>
      </c>
      <c r="T9" s="70">
        <v>34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121</v>
      </c>
      <c r="AM9" s="95">
        <f t="shared" si="9"/>
        <v>5</v>
      </c>
      <c r="AN9" s="11">
        <f t="shared" si="10"/>
        <v>24.2</v>
      </c>
      <c r="AO9" s="12">
        <f t="shared" si="11"/>
        <v>71.17647058823529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>
        <v>18</v>
      </c>
      <c r="P10" s="13">
        <f t="shared" si="1"/>
        <v>260</v>
      </c>
      <c r="Q10" s="11">
        <f t="shared" si="2"/>
        <v>8</v>
      </c>
      <c r="R10" s="11">
        <f t="shared" si="3"/>
        <v>32.5</v>
      </c>
      <c r="S10" s="12">
        <f t="shared" si="4"/>
        <v>92.857142857142861</v>
      </c>
      <c r="T10" s="70">
        <v>35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260</v>
      </c>
      <c r="AM10" s="95">
        <f t="shared" si="9"/>
        <v>8</v>
      </c>
      <c r="AN10" s="11">
        <f t="shared" si="10"/>
        <v>32.5</v>
      </c>
      <c r="AO10" s="12">
        <f t="shared" si="11"/>
        <v>92.857142857142861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>
        <v>13</v>
      </c>
      <c r="P11" s="13">
        <f t="shared" si="1"/>
        <v>86</v>
      </c>
      <c r="Q11" s="11">
        <f t="shared" si="2"/>
        <v>7</v>
      </c>
      <c r="R11" s="11">
        <f t="shared" si="3"/>
        <v>12.285714285714286</v>
      </c>
      <c r="S11" s="12">
        <f t="shared" si="4"/>
        <v>81.904761904761898</v>
      </c>
      <c r="T11" s="70">
        <v>15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86</v>
      </c>
      <c r="AM11" s="95">
        <f t="shared" si="9"/>
        <v>7</v>
      </c>
      <c r="AN11" s="11">
        <f t="shared" si="10"/>
        <v>12.285714285714286</v>
      </c>
      <c r="AO11" s="12">
        <f t="shared" si="11"/>
        <v>81.904761904761898</v>
      </c>
    </row>
    <row r="12" spans="1:41" s="10" customFormat="1" ht="20.100000000000001" customHeight="1" x14ac:dyDescent="0.3">
      <c r="A12" s="26" t="s">
        <v>303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11">
        <f t="shared" si="3"/>
        <v>41.857142857142854</v>
      </c>
      <c r="S12" s="12">
        <f t="shared" si="4"/>
        <v>110.15037593984962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293</v>
      </c>
      <c r="AM12" s="95">
        <f t="shared" si="9"/>
        <v>7</v>
      </c>
      <c r="AN12" s="11">
        <f t="shared" si="10"/>
        <v>41.857142857142854</v>
      </c>
      <c r="AO12" s="12">
        <f t="shared" si="11"/>
        <v>110.15037593984962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11">
        <f t="shared" si="3"/>
        <v>25.25</v>
      </c>
      <c r="S13" s="12">
        <f t="shared" si="4"/>
        <v>105.20833333333333</v>
      </c>
      <c r="T13" s="70">
        <v>24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202</v>
      </c>
      <c r="AM13" s="95">
        <f t="shared" si="9"/>
        <v>8</v>
      </c>
      <c r="AN13" s="11">
        <f t="shared" si="10"/>
        <v>25.25</v>
      </c>
      <c r="AO13" s="12">
        <f t="shared" si="11"/>
        <v>105.20833333333333</v>
      </c>
    </row>
    <row r="14" spans="1:41" s="10" customFormat="1" ht="20.100000000000001" customHeight="1" x14ac:dyDescent="0.3">
      <c r="A14" s="26" t="s">
        <v>361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>
        <v>10</v>
      </c>
      <c r="P14" s="13">
        <f t="shared" si="1"/>
        <v>66</v>
      </c>
      <c r="Q14" s="11">
        <f t="shared" si="2"/>
        <v>7</v>
      </c>
      <c r="R14" s="11">
        <f t="shared" si="3"/>
        <v>9.4285714285714288</v>
      </c>
      <c r="S14" s="12">
        <f t="shared" si="4"/>
        <v>62.857142857142854</v>
      </c>
      <c r="T14" s="328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66</v>
      </c>
      <c r="AM14" s="95">
        <f t="shared" si="9"/>
        <v>7</v>
      </c>
      <c r="AN14" s="11">
        <f t="shared" si="10"/>
        <v>9.4285714285714288</v>
      </c>
      <c r="AO14" s="12">
        <f t="shared" si="11"/>
        <v>62.857142857142854</v>
      </c>
    </row>
    <row r="15" spans="1:41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159</v>
      </c>
      <c r="M19" s="19">
        <f t="shared" si="13"/>
        <v>215</v>
      </c>
      <c r="N19" s="19">
        <f t="shared" si="13"/>
        <v>170</v>
      </c>
      <c r="O19" s="19">
        <f t="shared" si="13"/>
        <v>142</v>
      </c>
      <c r="P19" s="19">
        <f t="shared" si="13"/>
        <v>2352</v>
      </c>
      <c r="Q19" s="19">
        <f t="shared" si="13"/>
        <v>78</v>
      </c>
      <c r="R19" s="19">
        <f>P19/Q19</f>
        <v>30.153846153846153</v>
      </c>
      <c r="S19" s="22"/>
      <c r="T19" s="179">
        <f>SUM(T4:T18)</f>
        <v>331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2352</v>
      </c>
      <c r="AM19" s="18">
        <f>SUM(AM4:AM18)</f>
        <v>78</v>
      </c>
      <c r="AN19" s="18">
        <f t="shared" ref="AN19" si="16">AL19/AM19</f>
        <v>30.153846153846153</v>
      </c>
      <c r="AO19" s="20"/>
    </row>
  </sheetData>
  <mergeCells count="18"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topLeftCell="A2" zoomScaleNormal="100" workbookViewId="0">
      <selection activeCell="T16" sqref="T16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1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33</v>
      </c>
      <c r="B2" s="297" t="s">
        <v>42</v>
      </c>
      <c r="C2" s="299" t="s">
        <v>166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128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0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7"/>
      <c r="AI3" s="311"/>
      <c r="AJ3" s="311"/>
      <c r="AK3" s="76"/>
      <c r="AL3" s="317"/>
      <c r="AM3" s="311"/>
      <c r="AN3" s="311"/>
      <c r="AO3" s="313"/>
    </row>
    <row r="4" spans="1:41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8">
        <f>IF(P4=0," ",P4/Q4)</f>
        <v>12.75</v>
      </c>
      <c r="S4" s="94">
        <f t="shared" ref="S4" si="0">IF(P4=0," ",P4/(Q4*T4)*100)</f>
        <v>75</v>
      </c>
      <c r="T4" s="70">
        <v>17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51</v>
      </c>
      <c r="AM4" s="123">
        <f t="shared" si="1"/>
        <v>4</v>
      </c>
      <c r="AN4" s="8">
        <f>IF(AL4=0," ",AL4/AM4)</f>
        <v>12.75</v>
      </c>
      <c r="AO4" s="94">
        <f>IF(AL4=0," ",AL4/(AM4*T4)*100)</f>
        <v>75</v>
      </c>
    </row>
    <row r="5" spans="1:41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11">
        <f t="shared" ref="R5:R18" si="4">IF(P5=0," ",P5/Q5)</f>
        <v>34</v>
      </c>
      <c r="S5" s="12">
        <f t="shared" ref="S5:S18" si="5">IF(P5=0," ",P5/(Q5*T5)*100)</f>
        <v>89.473684210526315</v>
      </c>
      <c r="T5" s="70">
        <v>38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238</v>
      </c>
      <c r="AM5" s="95">
        <f t="shared" ref="AM5:AM18" si="10">Q5+AI5</f>
        <v>7</v>
      </c>
      <c r="AN5" s="11">
        <f t="shared" ref="AN5:AN18" si="11">IF(AL5=0," ",AL5/AM5)</f>
        <v>34</v>
      </c>
      <c r="AO5" s="12">
        <f t="shared" ref="AO5:AO18" si="12">IF(AL5=0," ",AL5/(AM5*T5)*100)</f>
        <v>89.473684210526315</v>
      </c>
    </row>
    <row r="6" spans="1:41" ht="20.100000000000001" customHeight="1" x14ac:dyDescent="0.3">
      <c r="A6" s="26" t="s">
        <v>342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>
        <v>55</v>
      </c>
      <c r="P6" s="13">
        <f t="shared" si="2"/>
        <v>526</v>
      </c>
      <c r="Q6" s="11">
        <f t="shared" si="3"/>
        <v>9</v>
      </c>
      <c r="R6" s="11">
        <f t="shared" si="4"/>
        <v>58.444444444444443</v>
      </c>
      <c r="S6" s="12">
        <f t="shared" si="5"/>
        <v>100.76628352490422</v>
      </c>
      <c r="T6" s="328">
        <v>58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526</v>
      </c>
      <c r="AM6" s="95">
        <f t="shared" si="10"/>
        <v>9</v>
      </c>
      <c r="AN6" s="11">
        <f t="shared" si="11"/>
        <v>58.444444444444443</v>
      </c>
      <c r="AO6" s="12">
        <f t="shared" si="12"/>
        <v>100.76628352490422</v>
      </c>
    </row>
    <row r="7" spans="1:41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11">
        <f t="shared" si="4"/>
        <v>31.714285714285715</v>
      </c>
      <c r="S8" s="12">
        <f t="shared" si="5"/>
        <v>99.107142857142861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222</v>
      </c>
      <c r="AM8" s="95">
        <f t="shared" si="10"/>
        <v>7</v>
      </c>
      <c r="AN8" s="11">
        <f t="shared" si="11"/>
        <v>31.714285714285715</v>
      </c>
      <c r="AO8" s="12">
        <f t="shared" si="12"/>
        <v>99.107142857142861</v>
      </c>
    </row>
    <row r="9" spans="1:41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11">
        <f t="shared" si="4"/>
        <v>25.25</v>
      </c>
      <c r="S9" s="12">
        <f t="shared" si="5"/>
        <v>132.89473684210526</v>
      </c>
      <c r="T9" s="70">
        <v>19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101</v>
      </c>
      <c r="AM9" s="95">
        <f t="shared" si="10"/>
        <v>4</v>
      </c>
      <c r="AN9" s="11">
        <f t="shared" si="11"/>
        <v>25.25</v>
      </c>
      <c r="AO9" s="12">
        <f t="shared" si="12"/>
        <v>132.89473684210526</v>
      </c>
    </row>
    <row r="10" spans="1:41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>
        <v>14</v>
      </c>
      <c r="P10" s="13">
        <f t="shared" si="2"/>
        <v>82</v>
      </c>
      <c r="Q10" s="11">
        <f t="shared" si="3"/>
        <v>4</v>
      </c>
      <c r="R10" s="11">
        <f t="shared" si="4"/>
        <v>20.5</v>
      </c>
      <c r="S10" s="12">
        <f t="shared" si="5"/>
        <v>97.61904761904762</v>
      </c>
      <c r="T10" s="70">
        <v>21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82</v>
      </c>
      <c r="AM10" s="95">
        <f t="shared" si="10"/>
        <v>4</v>
      </c>
      <c r="AN10" s="11">
        <f t="shared" si="11"/>
        <v>20.5</v>
      </c>
      <c r="AO10" s="12">
        <f t="shared" si="12"/>
        <v>97.61904761904762</v>
      </c>
    </row>
    <row r="11" spans="1:41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>
        <v>33</v>
      </c>
      <c r="P11" s="13">
        <f t="shared" si="2"/>
        <v>197</v>
      </c>
      <c r="Q11" s="11">
        <f t="shared" si="3"/>
        <v>6</v>
      </c>
      <c r="R11" s="11">
        <f t="shared" si="4"/>
        <v>32.833333333333336</v>
      </c>
      <c r="S11" s="12">
        <f t="shared" si="5"/>
        <v>136.80555555555557</v>
      </c>
      <c r="T11" s="70">
        <v>24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197</v>
      </c>
      <c r="AM11" s="95">
        <f t="shared" si="10"/>
        <v>6</v>
      </c>
      <c r="AN11" s="11">
        <f t="shared" si="11"/>
        <v>32.833333333333336</v>
      </c>
      <c r="AO11" s="12">
        <f t="shared" si="12"/>
        <v>136.80555555555557</v>
      </c>
    </row>
    <row r="12" spans="1:41" ht="20.100000000000001" customHeight="1" x14ac:dyDescent="0.3">
      <c r="A12" s="26" t="s">
        <v>316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11">
        <f t="shared" si="4"/>
        <v>34.857142857142854</v>
      </c>
      <c r="S12" s="12">
        <f t="shared" si="5"/>
        <v>91.729323308270665</v>
      </c>
      <c r="T12" s="70">
        <v>38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244</v>
      </c>
      <c r="AM12" s="95">
        <f t="shared" si="10"/>
        <v>7</v>
      </c>
      <c r="AN12" s="11">
        <f t="shared" si="11"/>
        <v>34.857142857142854</v>
      </c>
      <c r="AO12" s="12">
        <f t="shared" si="12"/>
        <v>91.729323308270665</v>
      </c>
    </row>
    <row r="13" spans="1:41" ht="20.100000000000001" customHeight="1" x14ac:dyDescent="0.3">
      <c r="A13" s="26" t="s">
        <v>317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>
        <v>58</v>
      </c>
      <c r="P13" s="13">
        <f t="shared" si="2"/>
        <v>579</v>
      </c>
      <c r="Q13" s="11">
        <f t="shared" si="3"/>
        <v>7</v>
      </c>
      <c r="R13" s="11">
        <f t="shared" si="4"/>
        <v>82.714285714285708</v>
      </c>
      <c r="S13" s="12">
        <f t="shared" si="5"/>
        <v>93.993506493506501</v>
      </c>
      <c r="T13" s="70">
        <v>88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579</v>
      </c>
      <c r="AM13" s="95">
        <f t="shared" si="10"/>
        <v>7</v>
      </c>
      <c r="AN13" s="11">
        <f t="shared" si="11"/>
        <v>82.714285714285708</v>
      </c>
      <c r="AO13" s="12">
        <f t="shared" si="12"/>
        <v>93.993506493506501</v>
      </c>
    </row>
    <row r="14" spans="1:41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11">
        <f t="shared" si="4"/>
        <v>27.666666666666668</v>
      </c>
      <c r="S14" s="12">
        <f t="shared" si="5"/>
        <v>92.222222222222229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166</v>
      </c>
      <c r="AM14" s="95">
        <f t="shared" si="10"/>
        <v>6</v>
      </c>
      <c r="AN14" s="11">
        <f t="shared" si="11"/>
        <v>27.666666666666668</v>
      </c>
      <c r="AO14" s="12">
        <f t="shared" si="12"/>
        <v>92.222222222222229</v>
      </c>
    </row>
    <row r="15" spans="1:41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>
        <v>25</v>
      </c>
      <c r="P15" s="13">
        <f t="shared" si="2"/>
        <v>191</v>
      </c>
      <c r="Q15" s="11">
        <f t="shared" si="3"/>
        <v>9</v>
      </c>
      <c r="R15" s="11">
        <f t="shared" si="4"/>
        <v>21.222222222222221</v>
      </c>
      <c r="S15" s="12">
        <f t="shared" si="5"/>
        <v>101.05820105820106</v>
      </c>
      <c r="T15" s="70">
        <v>21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191</v>
      </c>
      <c r="AM15" s="95">
        <f t="shared" si="10"/>
        <v>9</v>
      </c>
      <c r="AN15" s="11">
        <f t="shared" si="11"/>
        <v>21.222222222222221</v>
      </c>
      <c r="AO15" s="12">
        <f t="shared" si="12"/>
        <v>101.05820105820106</v>
      </c>
    </row>
    <row r="16" spans="1:41" ht="20.100000000000001" customHeight="1" x14ac:dyDescent="0.3">
      <c r="A16" s="26" t="s">
        <v>358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11">
        <f t="shared" si="4"/>
        <v>12.5</v>
      </c>
      <c r="S16" s="12">
        <f t="shared" si="5"/>
        <v>83.333333333333343</v>
      </c>
      <c r="T16" s="328">
        <v>15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50</v>
      </c>
      <c r="AM16" s="95">
        <f t="shared" si="10"/>
        <v>4</v>
      </c>
      <c r="AN16" s="11">
        <f t="shared" si="11"/>
        <v>12.5</v>
      </c>
      <c r="AO16" s="12">
        <f t="shared" si="12"/>
        <v>83.333333333333343</v>
      </c>
    </row>
    <row r="17" spans="1:41" ht="20.100000000000001" customHeight="1" x14ac:dyDescent="0.3">
      <c r="A17" s="26">
        <v>0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277</v>
      </c>
      <c r="M19" s="19">
        <f t="shared" si="14"/>
        <v>160</v>
      </c>
      <c r="N19" s="19">
        <f t="shared" si="14"/>
        <v>154</v>
      </c>
      <c r="O19" s="19">
        <f>SUM(O4:O18)</f>
        <v>210</v>
      </c>
      <c r="P19" s="19">
        <f>SUM(P4:P18)</f>
        <v>2701</v>
      </c>
      <c r="Q19" s="19">
        <f>SUM(Q4:Q18)</f>
        <v>78</v>
      </c>
      <c r="R19" s="19">
        <f>P19/Q19</f>
        <v>34.628205128205131</v>
      </c>
      <c r="S19" s="22"/>
      <c r="T19" s="179">
        <f>SUM(T4:T18)</f>
        <v>416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2701</v>
      </c>
      <c r="AM19" s="18">
        <f>SUM(AM4:AM18)</f>
        <v>78</v>
      </c>
      <c r="AN19" s="18">
        <f t="shared" ref="AN19" si="16">AL19/AM19</f>
        <v>34.628205128205131</v>
      </c>
      <c r="AO19" s="20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110" zoomScaleNormal="110" workbookViewId="0">
      <selection activeCell="T11" sqref="T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1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34</v>
      </c>
      <c r="B2" s="297" t="s">
        <v>42</v>
      </c>
      <c r="C2" s="299" t="s">
        <v>76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110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8">
        <f>IF(P4=0," ",P4/Q4)</f>
        <v>50</v>
      </c>
      <c r="S4" s="94">
        <f t="shared" ref="S4" si="0">IF(P4=0," ",P4/(Q4*T4)*100)</f>
        <v>116.27906976744187</v>
      </c>
      <c r="T4" s="70">
        <v>43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100</v>
      </c>
      <c r="AM4" s="123">
        <f t="shared" ref="AM4" si="2">Q4+AI4</f>
        <v>2</v>
      </c>
      <c r="AN4" s="8">
        <f>IF(AL4=0," ",AL4/AM4)</f>
        <v>50</v>
      </c>
      <c r="AO4" s="94">
        <f>IF(AL4=0," ",AL4/(AM4*T4)*100)</f>
        <v>116.27906976744187</v>
      </c>
    </row>
    <row r="5" spans="1:41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73">
        <v>30</v>
      </c>
      <c r="F5" s="164">
        <v>33</v>
      </c>
      <c r="G5" s="164"/>
      <c r="H5" s="272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11">
        <f t="shared" ref="R5:R18" si="5">IF(P5=0," ",P5/Q5)</f>
        <v>29.636363636363637</v>
      </c>
      <c r="S5" s="12">
        <f t="shared" ref="S5:S18" si="6">IF(P5=0," ",P5/(Q5*T5)*100)</f>
        <v>105.84415584415585</v>
      </c>
      <c r="T5" s="70">
        <v>28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326</v>
      </c>
      <c r="AM5" s="95">
        <f t="shared" ref="AM5:AM18" si="11">Q5+AI5</f>
        <v>11</v>
      </c>
      <c r="AN5" s="11">
        <f t="shared" ref="AN5:AN18" si="12">IF(AL5=0," ",AL5/AM5)</f>
        <v>29.636363636363637</v>
      </c>
      <c r="AO5" s="12">
        <f t="shared" ref="AO5:AO18" si="13">IF(AL5=0," ",AL5/(AM5*T5)*100)</f>
        <v>105.84415584415585</v>
      </c>
    </row>
    <row r="6" spans="1:41" s="10" customFormat="1" ht="20.100000000000001" customHeight="1" x14ac:dyDescent="0.3">
      <c r="A6" s="26" t="s">
        <v>178</v>
      </c>
      <c r="B6" s="70">
        <v>42</v>
      </c>
      <c r="C6" s="163">
        <v>38</v>
      </c>
      <c r="D6" s="273">
        <v>49</v>
      </c>
      <c r="E6" s="273">
        <v>18</v>
      </c>
      <c r="F6" s="164">
        <v>35</v>
      </c>
      <c r="G6" s="164">
        <v>51</v>
      </c>
      <c r="H6" s="272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>
        <v>56</v>
      </c>
      <c r="P6" s="13">
        <f>SUM(C6:O6)</f>
        <v>442</v>
      </c>
      <c r="Q6" s="11">
        <f>COUNTIF(C6:O6,"&gt;0")</f>
        <v>11</v>
      </c>
      <c r="R6" s="11">
        <f t="shared" si="5"/>
        <v>40.18181818181818</v>
      </c>
      <c r="S6" s="12">
        <f t="shared" si="6"/>
        <v>95.67099567099568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442</v>
      </c>
      <c r="AM6" s="95">
        <f t="shared" si="11"/>
        <v>11</v>
      </c>
      <c r="AN6" s="11">
        <f t="shared" si="12"/>
        <v>40.18181818181818</v>
      </c>
      <c r="AO6" s="12">
        <f t="shared" si="13"/>
        <v>95.67099567099568</v>
      </c>
    </row>
    <row r="7" spans="1:41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72">
        <v>65</v>
      </c>
      <c r="I7" s="272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>
        <v>56</v>
      </c>
      <c r="P7" s="13">
        <f t="shared" si="3"/>
        <v>596</v>
      </c>
      <c r="Q7" s="11">
        <f t="shared" si="4"/>
        <v>12</v>
      </c>
      <c r="R7" s="11">
        <f t="shared" si="5"/>
        <v>49.666666666666664</v>
      </c>
      <c r="S7" s="12">
        <f t="shared" si="6"/>
        <v>124.16666666666667</v>
      </c>
      <c r="T7" s="70">
        <v>40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596</v>
      </c>
      <c r="AM7" s="95">
        <f t="shared" si="11"/>
        <v>12</v>
      </c>
      <c r="AN7" s="11">
        <f t="shared" si="12"/>
        <v>49.666666666666664</v>
      </c>
      <c r="AO7" s="12">
        <f t="shared" si="13"/>
        <v>124.16666666666667</v>
      </c>
    </row>
    <row r="8" spans="1:41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>
        <v>48</v>
      </c>
      <c r="P8" s="13">
        <f t="shared" si="3"/>
        <v>209</v>
      </c>
      <c r="Q8" s="11">
        <f t="shared" si="4"/>
        <v>5</v>
      </c>
      <c r="R8" s="11">
        <f t="shared" si="5"/>
        <v>41.8</v>
      </c>
      <c r="S8" s="12">
        <f t="shared" si="6"/>
        <v>130.625</v>
      </c>
      <c r="T8" s="70">
        <v>32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209</v>
      </c>
      <c r="AM8" s="95">
        <f t="shared" si="11"/>
        <v>5</v>
      </c>
      <c r="AN8" s="11">
        <f t="shared" si="12"/>
        <v>41.8</v>
      </c>
      <c r="AO8" s="12">
        <f t="shared" si="13"/>
        <v>130.625</v>
      </c>
    </row>
    <row r="9" spans="1:41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362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11">
        <f t="shared" si="5"/>
        <v>39.4</v>
      </c>
      <c r="S10" s="12">
        <f t="shared" si="6"/>
        <v>101.02564102564102</v>
      </c>
      <c r="T10" s="328">
        <v>39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197</v>
      </c>
      <c r="AM10" s="95">
        <f t="shared" si="11"/>
        <v>5</v>
      </c>
      <c r="AN10" s="11">
        <f t="shared" si="12"/>
        <v>39.4</v>
      </c>
      <c r="AO10" s="12">
        <f t="shared" si="13"/>
        <v>101.02564102564102</v>
      </c>
    </row>
    <row r="11" spans="1:41" s="10" customFormat="1" ht="20.100000000000001" customHeight="1" x14ac:dyDescent="0.3">
      <c r="A11" s="26" t="s">
        <v>352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72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>
        <v>50</v>
      </c>
      <c r="P11" s="13">
        <f t="shared" si="3"/>
        <v>389</v>
      </c>
      <c r="Q11" s="11">
        <f t="shared" si="4"/>
        <v>9</v>
      </c>
      <c r="R11" s="11">
        <f t="shared" si="5"/>
        <v>43.222222222222221</v>
      </c>
      <c r="S11" s="12">
        <f t="shared" si="6"/>
        <v>100.51679586563307</v>
      </c>
      <c r="T11" s="328">
        <v>43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389</v>
      </c>
      <c r="AM11" s="95">
        <f t="shared" si="11"/>
        <v>9</v>
      </c>
      <c r="AN11" s="11">
        <f t="shared" si="12"/>
        <v>43.222222222222221</v>
      </c>
      <c r="AO11" s="12">
        <f t="shared" si="13"/>
        <v>100.51679586563307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11">
        <f t="shared" si="5"/>
        <v>166.5</v>
      </c>
      <c r="S12" s="12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11">
        <f t="shared" si="12"/>
        <v>166.5</v>
      </c>
      <c r="AO12" s="12">
        <f t="shared" si="13"/>
        <v>152.75229357798165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73">
        <v>55</v>
      </c>
      <c r="F13" s="164"/>
      <c r="G13" s="164"/>
      <c r="H13" s="272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>
        <v>47</v>
      </c>
      <c r="P13" s="13">
        <f t="shared" si="3"/>
        <v>490</v>
      </c>
      <c r="Q13" s="11">
        <f t="shared" si="4"/>
        <v>10</v>
      </c>
      <c r="R13" s="11">
        <f t="shared" si="5"/>
        <v>49</v>
      </c>
      <c r="S13" s="12">
        <f t="shared" si="6"/>
        <v>108.88888888888889</v>
      </c>
      <c r="T13" s="70">
        <v>45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490</v>
      </c>
      <c r="AM13" s="95">
        <f t="shared" si="11"/>
        <v>10</v>
      </c>
      <c r="AN13" s="11">
        <f t="shared" si="12"/>
        <v>49</v>
      </c>
      <c r="AO13" s="12">
        <f t="shared" si="13"/>
        <v>108.88888888888889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73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>
        <v>53</v>
      </c>
      <c r="P14" s="13">
        <f t="shared" si="3"/>
        <v>269</v>
      </c>
      <c r="Q14" s="11">
        <f t="shared" si="4"/>
        <v>8</v>
      </c>
      <c r="R14" s="11">
        <f t="shared" si="5"/>
        <v>33.625</v>
      </c>
      <c r="S14" s="12">
        <f t="shared" si="6"/>
        <v>96.071428571428569</v>
      </c>
      <c r="T14" s="70">
        <v>35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269</v>
      </c>
      <c r="AM14" s="95">
        <f t="shared" si="11"/>
        <v>8</v>
      </c>
      <c r="AN14" s="11">
        <f t="shared" si="12"/>
        <v>33.625</v>
      </c>
      <c r="AO14" s="12">
        <f t="shared" si="13"/>
        <v>96.071428571428569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73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11">
        <f t="shared" si="5"/>
        <v>58.666666666666664</v>
      </c>
      <c r="S15" s="12">
        <f t="shared" si="6"/>
        <v>117.33333333333333</v>
      </c>
      <c r="T15" s="70">
        <v>50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176</v>
      </c>
      <c r="AM15" s="95">
        <f t="shared" si="11"/>
        <v>3</v>
      </c>
      <c r="AN15" s="11">
        <f t="shared" si="12"/>
        <v>58.666666666666664</v>
      </c>
      <c r="AO15" s="12">
        <f t="shared" si="13"/>
        <v>117.33333333333333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187</v>
      </c>
      <c r="M19" s="19">
        <f t="shared" si="15"/>
        <v>384</v>
      </c>
      <c r="N19" s="19">
        <f>SUM(N4:N18)</f>
        <v>304</v>
      </c>
      <c r="O19" s="19">
        <f>SUM(O4:O18)</f>
        <v>310</v>
      </c>
      <c r="P19" s="19">
        <f t="shared" si="15"/>
        <v>3527</v>
      </c>
      <c r="Q19" s="19">
        <f t="shared" si="15"/>
        <v>78</v>
      </c>
      <c r="R19" s="19">
        <f>P19/Q19</f>
        <v>45.217948717948715</v>
      </c>
      <c r="S19" s="22"/>
      <c r="T19" s="179">
        <f>SUM(T4:T18)</f>
        <v>521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3527</v>
      </c>
      <c r="AM19" s="18">
        <f>SUM(AM4:AM18)</f>
        <v>78</v>
      </c>
      <c r="AN19" s="18">
        <f t="shared" ref="AN19" si="18">AL19/AM19</f>
        <v>45.217948717948715</v>
      </c>
      <c r="AO19" s="20"/>
    </row>
    <row r="24" spans="1:41" x14ac:dyDescent="0.3">
      <c r="A24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topLeftCell="A2" zoomScale="145" zoomScaleNormal="145" workbookViewId="0">
      <selection activeCell="O5" sqref="O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1" t="s">
        <v>283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1"/>
      <c r="AL1" s="293" t="s">
        <v>41</v>
      </c>
      <c r="AM1" s="293"/>
      <c r="AN1" s="293"/>
      <c r="AO1" s="294"/>
    </row>
    <row r="2" spans="1:41" ht="121.5" customHeight="1" thickBot="1" x14ac:dyDescent="0.35">
      <c r="A2" s="295" t="s">
        <v>297</v>
      </c>
      <c r="B2" s="297" t="s">
        <v>42</v>
      </c>
      <c r="C2" s="299" t="s">
        <v>166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1"/>
      <c r="P2" s="302" t="s">
        <v>44</v>
      </c>
      <c r="Q2" s="304" t="s">
        <v>45</v>
      </c>
      <c r="R2" s="304" t="s">
        <v>46</v>
      </c>
      <c r="S2" s="306" t="s">
        <v>284</v>
      </c>
      <c r="T2" s="308" t="s">
        <v>47</v>
      </c>
      <c r="U2" s="299" t="s">
        <v>128</v>
      </c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5"/>
      <c r="AH2" s="316" t="s">
        <v>44</v>
      </c>
      <c r="AI2" s="310" t="s">
        <v>45</v>
      </c>
      <c r="AJ2" s="312" t="s">
        <v>49</v>
      </c>
      <c r="AK2" s="75"/>
      <c r="AL2" s="316" t="s">
        <v>44</v>
      </c>
      <c r="AM2" s="310" t="s">
        <v>45</v>
      </c>
      <c r="AN2" s="310" t="s">
        <v>50</v>
      </c>
      <c r="AO2" s="312" t="s">
        <v>284</v>
      </c>
    </row>
    <row r="3" spans="1:41" ht="15" customHeight="1" thickBot="1" x14ac:dyDescent="0.35">
      <c r="A3" s="296"/>
      <c r="B3" s="29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3"/>
      <c r="Q3" s="305"/>
      <c r="R3" s="305"/>
      <c r="S3" s="307"/>
      <c r="T3" s="30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7"/>
      <c r="AI3" s="311"/>
      <c r="AJ3" s="313"/>
      <c r="AK3" s="76"/>
      <c r="AL3" s="317"/>
      <c r="AM3" s="311"/>
      <c r="AN3" s="311"/>
      <c r="AO3" s="313"/>
    </row>
    <row r="4" spans="1:41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8">
        <f>IF(P4=0," ",P4/Q4)</f>
        <v>28.714285714285715</v>
      </c>
      <c r="S4" s="94">
        <f t="shared" ref="S4:S18" si="0">IF(P4=0," ",P4/(Q4*T4)*100)</f>
        <v>99.01477832512316</v>
      </c>
      <c r="T4" s="137">
        <v>29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201</v>
      </c>
      <c r="AM4" s="123">
        <f t="shared" si="1"/>
        <v>7</v>
      </c>
      <c r="AN4" s="8">
        <f>IF(AL4=0," ",AL4/AM4)</f>
        <v>28.714285714285715</v>
      </c>
      <c r="AO4" s="94">
        <f>IF(AL4=0," ",AL4/(AM4*T4)*100)</f>
        <v>99.01477832512316</v>
      </c>
    </row>
    <row r="5" spans="1:41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11">
        <f t="shared" ref="R5:R18" si="4">IF(P5=0," ",P5/Q5)</f>
        <v>43.857142857142854</v>
      </c>
      <c r="S5" s="12">
        <f t="shared" si="0"/>
        <v>121.82539682539681</v>
      </c>
      <c r="T5" s="70">
        <v>36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307</v>
      </c>
      <c r="AM5" s="95">
        <f t="shared" si="1"/>
        <v>7</v>
      </c>
      <c r="AN5" s="11">
        <f t="shared" ref="AN5:AN18" si="8">IF(AL5=0," ",AL5/AM5)</f>
        <v>43.857142857142854</v>
      </c>
      <c r="AO5" s="12">
        <f t="shared" ref="AO5:AO18" si="9">IF(AL5=0," ",AL5/(AM5*T5)*100)</f>
        <v>121.82539682539681</v>
      </c>
    </row>
    <row r="6" spans="1:41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>
        <v>58</v>
      </c>
      <c r="P6" s="13">
        <f t="shared" si="2"/>
        <v>375</v>
      </c>
      <c r="Q6" s="11">
        <f t="shared" si="3"/>
        <v>9</v>
      </c>
      <c r="R6" s="11">
        <f t="shared" si="4"/>
        <v>41.666666666666664</v>
      </c>
      <c r="S6" s="12">
        <f t="shared" si="0"/>
        <v>90.579710144927532</v>
      </c>
      <c r="T6" s="70">
        <v>46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375</v>
      </c>
      <c r="AM6" s="95">
        <f t="shared" si="1"/>
        <v>9</v>
      </c>
      <c r="AN6" s="11">
        <f t="shared" si="8"/>
        <v>41.666666666666664</v>
      </c>
      <c r="AO6" s="12">
        <f t="shared" si="9"/>
        <v>90.579710144927532</v>
      </c>
    </row>
    <row r="7" spans="1:41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>
        <v>45</v>
      </c>
      <c r="P7" s="13">
        <f t="shared" si="2"/>
        <v>251</v>
      </c>
      <c r="Q7" s="11">
        <f t="shared" si="3"/>
        <v>7</v>
      </c>
      <c r="R7" s="11">
        <f t="shared" si="4"/>
        <v>35.857142857142854</v>
      </c>
      <c r="S7" s="12">
        <f t="shared" si="0"/>
        <v>108.65800865800865</v>
      </c>
      <c r="T7" s="70">
        <v>33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251</v>
      </c>
      <c r="AM7" s="95">
        <f t="shared" si="1"/>
        <v>7</v>
      </c>
      <c r="AN7" s="11">
        <f t="shared" si="8"/>
        <v>35.857142857142854</v>
      </c>
      <c r="AO7" s="12">
        <f t="shared" si="9"/>
        <v>108.65800865800865</v>
      </c>
    </row>
    <row r="8" spans="1:41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>
        <v>16</v>
      </c>
      <c r="P8" s="13">
        <f t="shared" si="2"/>
        <v>168</v>
      </c>
      <c r="Q8" s="11">
        <f t="shared" si="3"/>
        <v>9</v>
      </c>
      <c r="R8" s="11">
        <f t="shared" si="4"/>
        <v>18.666666666666668</v>
      </c>
      <c r="S8" s="12">
        <f t="shared" si="0"/>
        <v>77.777777777777786</v>
      </c>
      <c r="T8" s="70">
        <v>24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168</v>
      </c>
      <c r="AM8" s="95">
        <f t="shared" si="1"/>
        <v>9</v>
      </c>
      <c r="AN8" s="11">
        <f t="shared" si="8"/>
        <v>18.666666666666668</v>
      </c>
      <c r="AO8" s="12">
        <f t="shared" si="9"/>
        <v>77.777777777777786</v>
      </c>
    </row>
    <row r="9" spans="1:41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11">
        <f t="shared" si="4"/>
        <v>21.375</v>
      </c>
      <c r="S9" s="12">
        <f t="shared" si="0"/>
        <v>92.934782608695656</v>
      </c>
      <c r="T9" s="70">
        <v>23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171</v>
      </c>
      <c r="AM9" s="95">
        <f t="shared" si="1"/>
        <v>8</v>
      </c>
      <c r="AN9" s="11">
        <f t="shared" si="8"/>
        <v>21.375</v>
      </c>
      <c r="AO9" s="12">
        <f t="shared" si="9"/>
        <v>92.934782608695656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11">
        <f t="shared" si="4"/>
        <v>30.625</v>
      </c>
      <c r="S10" s="12">
        <f t="shared" si="0"/>
        <v>117.78846153846155</v>
      </c>
      <c r="T10" s="70">
        <v>26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245</v>
      </c>
      <c r="AM10" s="95">
        <f t="shared" si="1"/>
        <v>8</v>
      </c>
      <c r="AN10" s="11">
        <f t="shared" si="8"/>
        <v>30.625</v>
      </c>
      <c r="AO10" s="12">
        <f t="shared" si="9"/>
        <v>117.78846153846155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>
        <v>58</v>
      </c>
      <c r="P11" s="13">
        <f t="shared" si="2"/>
        <v>273</v>
      </c>
      <c r="Q11" s="11">
        <f t="shared" si="3"/>
        <v>7</v>
      </c>
      <c r="R11" s="11">
        <f t="shared" si="4"/>
        <v>39</v>
      </c>
      <c r="S11" s="12">
        <f t="shared" si="0"/>
        <v>88.63636363636364</v>
      </c>
      <c r="T11" s="70">
        <v>44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273</v>
      </c>
      <c r="AM11" s="95">
        <f t="shared" si="1"/>
        <v>7</v>
      </c>
      <c r="AN11" s="11">
        <f t="shared" si="8"/>
        <v>39</v>
      </c>
      <c r="AO11" s="12">
        <f t="shared" si="9"/>
        <v>88.63636363636364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11">
        <f t="shared" si="4"/>
        <v>27.222222222222221</v>
      </c>
      <c r="S12" s="12">
        <f t="shared" si="0"/>
        <v>97.222222222222214</v>
      </c>
      <c r="T12" s="70">
        <v>28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245</v>
      </c>
      <c r="AM12" s="95">
        <f t="shared" si="1"/>
        <v>9</v>
      </c>
      <c r="AN12" s="11">
        <f t="shared" si="8"/>
        <v>27.222222222222221</v>
      </c>
      <c r="AO12" s="12">
        <f t="shared" si="9"/>
        <v>97.222222222222214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>
        <v>26</v>
      </c>
      <c r="P13" s="13">
        <f t="shared" si="2"/>
        <v>223</v>
      </c>
      <c r="Q13" s="11">
        <f t="shared" si="3"/>
        <v>7</v>
      </c>
      <c r="R13" s="11">
        <f t="shared" si="4"/>
        <v>31.857142857142858</v>
      </c>
      <c r="S13" s="12">
        <f t="shared" si="0"/>
        <v>93.69747899159664</v>
      </c>
      <c r="T13" s="70">
        <v>34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223</v>
      </c>
      <c r="AM13" s="95">
        <f t="shared" si="1"/>
        <v>7</v>
      </c>
      <c r="AN13" s="11">
        <f t="shared" si="8"/>
        <v>31.857142857142858</v>
      </c>
      <c r="AO13" s="12">
        <f t="shared" si="9"/>
        <v>93.69747899159664</v>
      </c>
    </row>
    <row r="14" spans="1:41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175</v>
      </c>
      <c r="M19" s="19">
        <f t="shared" si="11"/>
        <v>218</v>
      </c>
      <c r="N19" s="19">
        <f t="shared" si="11"/>
        <v>227</v>
      </c>
      <c r="O19" s="19">
        <f t="shared" si="11"/>
        <v>240</v>
      </c>
      <c r="P19" s="19">
        <f t="shared" si="11"/>
        <v>2459</v>
      </c>
      <c r="Q19" s="19">
        <f t="shared" si="11"/>
        <v>78</v>
      </c>
      <c r="R19" s="19">
        <f t="shared" si="11"/>
        <v>318.84126984126982</v>
      </c>
      <c r="S19" s="22"/>
      <c r="T19" s="179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2459</v>
      </c>
      <c r="AM19" s="18">
        <f>SUM(AM4:AM18)</f>
        <v>78</v>
      </c>
      <c r="AN19" s="18">
        <f t="shared" ref="AN19" si="13">AL19/AM19</f>
        <v>31.525641025641026</v>
      </c>
      <c r="AO19" s="20"/>
    </row>
    <row r="24" spans="1:41" x14ac:dyDescent="0.3">
      <c r="A24"/>
    </row>
  </sheetData>
  <mergeCells count="18"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topLeftCell="A40" workbookViewId="0">
      <selection activeCell="C21" sqref="C21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3.7773437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306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63" t="str">
        <f>Meeuwen1!A14</f>
        <v>Vossen Ronny  [NS 20]</v>
      </c>
      <c r="I13" s="173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63" t="str">
        <f>Kerkuilen!A16</f>
        <v>Van Ginneken Cyriel [NS 20]</v>
      </c>
      <c r="F15" s="173">
        <f>Kerkuilen!T16</f>
        <v>16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3" t="str">
        <f>Kerkuilen!A17</f>
        <v>Van Oers Danny  [NS 50]</v>
      </c>
      <c r="F16" s="173">
        <f>Kerkuilen!T17</f>
        <v>51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63" t="str">
        <f>Meeuwen2!A12</f>
        <v>Present Marc [NS 20]</v>
      </c>
      <c r="C29" s="173">
        <f>Meeuwen2!T12</f>
        <v>23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463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2" t="str">
        <f>Nispen!A9</f>
        <v>Klijn Toon [NS 20]</v>
      </c>
      <c r="C44" s="173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63" t="str">
        <f>Oudeglorie!A13</f>
        <v>Nelen Jef  [NS 25]</v>
      </c>
      <c r="F48" s="173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3" t="str">
        <f>Wildert1!A6</f>
        <v>Buijk Jan  [NS 55]</v>
      </c>
      <c r="I59" s="175">
        <f>Wildert1!T6</f>
        <v>58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3" t="str">
        <f>Rooiebal2!A14</f>
        <v>Konings Kamiel [NS 20]</v>
      </c>
      <c r="C67" s="173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3" t="str">
        <f>Wildert1!A16</f>
        <v xml:space="preserve">Wetzer Rik [NS 20] </v>
      </c>
      <c r="I69" s="175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357</v>
      </c>
      <c r="G72" s="108"/>
      <c r="H72" s="149"/>
      <c r="I72" s="151">
        <f>SUM(I57:I69)</f>
        <v>416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297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3" t="str">
        <f>Wildert2!A10</f>
        <v>Peeters Hugo [NS 36]</v>
      </c>
      <c r="C81" s="173">
        <f>Wildert2!T10</f>
        <v>39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2" t="str">
        <f>Wildert2!A11</f>
        <v xml:space="preserve">Scholtis Vic  [NS 49] </v>
      </c>
      <c r="C82" s="173">
        <f>Wildert2!T11</f>
        <v>43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521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Q24" sqref="Q2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6" t="s">
        <v>333</v>
      </c>
      <c r="D2" s="326"/>
      <c r="E2" s="326"/>
      <c r="F2" s="326"/>
      <c r="G2" s="326"/>
      <c r="H2" s="326"/>
      <c r="I2" s="326"/>
    </row>
    <row r="3" spans="1:26" s="59" customFormat="1" ht="20.100000000000001" customHeight="1" x14ac:dyDescent="0.4">
      <c r="A3"/>
      <c r="C3" s="327" t="s">
        <v>198</v>
      </c>
      <c r="D3" s="327"/>
      <c r="E3" s="327"/>
      <c r="F3" s="327"/>
      <c r="G3" s="327"/>
      <c r="H3" s="327"/>
      <c r="I3" s="327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328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328</v>
      </c>
      <c r="D9" s="186" t="s">
        <v>55</v>
      </c>
      <c r="E9" s="186" t="s">
        <v>321</v>
      </c>
      <c r="F9" s="187">
        <v>2910</v>
      </c>
      <c r="G9" s="187" t="s">
        <v>200</v>
      </c>
      <c r="H9" s="188"/>
      <c r="I9" s="186" t="s">
        <v>343</v>
      </c>
      <c r="J9" s="189" t="s">
        <v>326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322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328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328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328</v>
      </c>
      <c r="D18" s="196" t="s">
        <v>329</v>
      </c>
      <c r="E18" s="196" t="s">
        <v>323</v>
      </c>
      <c r="F18" s="197">
        <v>2910</v>
      </c>
      <c r="G18" s="197" t="s">
        <v>200</v>
      </c>
      <c r="H18" s="199" t="s">
        <v>203</v>
      </c>
      <c r="I18" s="198" t="s">
        <v>324</v>
      </c>
      <c r="J18" s="200" t="s">
        <v>325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328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127</v>
      </c>
      <c r="I21" s="193" t="s">
        <v>214</v>
      </c>
      <c r="J21" s="189" t="s">
        <v>215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 t="s">
        <v>203</v>
      </c>
      <c r="I22" s="193" t="s">
        <v>216</v>
      </c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217</v>
      </c>
      <c r="C24" s="196" t="s">
        <v>328</v>
      </c>
      <c r="D24" s="196" t="s">
        <v>122</v>
      </c>
      <c r="E24" s="196" t="s">
        <v>218</v>
      </c>
      <c r="F24" s="197">
        <v>2910</v>
      </c>
      <c r="G24" s="197" t="s">
        <v>200</v>
      </c>
      <c r="H24" s="199" t="s">
        <v>203</v>
      </c>
      <c r="I24" s="198" t="s">
        <v>219</v>
      </c>
      <c r="J24" s="200" t="s">
        <v>220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221</v>
      </c>
      <c r="C26" s="193" t="s">
        <v>328</v>
      </c>
      <c r="D26" s="193" t="s">
        <v>72</v>
      </c>
      <c r="E26" s="193" t="s">
        <v>222</v>
      </c>
      <c r="F26" s="194">
        <v>2910</v>
      </c>
      <c r="G26" s="194" t="s">
        <v>200</v>
      </c>
      <c r="H26" s="195"/>
      <c r="I26" s="193" t="s">
        <v>223</v>
      </c>
      <c r="J26" s="189" t="s">
        <v>224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328</v>
      </c>
      <c r="D29" s="181" t="s">
        <v>150</v>
      </c>
      <c r="E29" s="181" t="s">
        <v>339</v>
      </c>
      <c r="F29" s="182">
        <v>2950</v>
      </c>
      <c r="G29" s="182" t="s">
        <v>340</v>
      </c>
      <c r="H29" s="183" t="s">
        <v>203</v>
      </c>
      <c r="I29" s="181" t="s">
        <v>327</v>
      </c>
      <c r="J29" s="184" t="s">
        <v>225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226</v>
      </c>
      <c r="C32" s="193" t="s">
        <v>328</v>
      </c>
      <c r="D32" s="203" t="s">
        <v>364</v>
      </c>
      <c r="E32" s="203" t="s">
        <v>365</v>
      </c>
      <c r="F32" s="204">
        <v>2910</v>
      </c>
      <c r="G32" s="204" t="s">
        <v>200</v>
      </c>
      <c r="H32" s="205" t="s">
        <v>203</v>
      </c>
      <c r="I32" s="203" t="s">
        <v>366</v>
      </c>
      <c r="J32" s="206" t="s">
        <v>367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227</v>
      </c>
      <c r="C34" s="196" t="s">
        <v>328</v>
      </c>
      <c r="D34" s="198" t="s">
        <v>162</v>
      </c>
      <c r="E34" s="198" t="s">
        <v>228</v>
      </c>
      <c r="F34" s="207">
        <v>2910</v>
      </c>
      <c r="G34" s="207" t="s">
        <v>200</v>
      </c>
      <c r="H34" s="199" t="s">
        <v>203</v>
      </c>
      <c r="I34" s="198" t="s">
        <v>229</v>
      </c>
      <c r="J34" s="200" t="s">
        <v>230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328</v>
      </c>
      <c r="D36" s="193" t="s">
        <v>170</v>
      </c>
      <c r="E36" s="193" t="s">
        <v>231</v>
      </c>
      <c r="F36" s="194">
        <v>2910</v>
      </c>
      <c r="G36" s="194" t="s">
        <v>200</v>
      </c>
      <c r="H36" s="195"/>
      <c r="I36" s="193" t="s">
        <v>232</v>
      </c>
      <c r="J36" s="189" t="s">
        <v>233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234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328</v>
      </c>
      <c r="D39" s="185" t="s">
        <v>182</v>
      </c>
      <c r="E39" s="185" t="s">
        <v>235</v>
      </c>
      <c r="F39" s="192">
        <v>2910</v>
      </c>
      <c r="G39" s="192" t="s">
        <v>200</v>
      </c>
      <c r="H39" s="183"/>
      <c r="I39" s="181" t="s">
        <v>236</v>
      </c>
      <c r="J39" s="184" t="s">
        <v>237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331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292</v>
      </c>
      <c r="C42" s="193" t="s">
        <v>328</v>
      </c>
      <c r="D42" s="201" t="s">
        <v>187</v>
      </c>
      <c r="E42" s="203" t="s">
        <v>295</v>
      </c>
      <c r="F42" s="202">
        <v>2910</v>
      </c>
      <c r="G42" s="202" t="s">
        <v>200</v>
      </c>
      <c r="H42" s="205" t="s">
        <v>203</v>
      </c>
      <c r="I42" s="203" t="s">
        <v>332</v>
      </c>
      <c r="J42" s="206" t="s">
        <v>330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ccJfeapV4j3oAlxmh6sCM6sgB5chV7ZBtjjfaA9doGDBIhoM5zXeQFogrEfgOdUQmsBs2NH1sONROq5krZTYLQ==" saltValue="XW7KdqIR0O+e8+mHX/i+xA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6" t="s">
        <v>304</v>
      </c>
      <c r="C2" s="326"/>
      <c r="D2" s="326"/>
      <c r="E2" s="326"/>
      <c r="F2" s="326"/>
      <c r="G2" s="326"/>
      <c r="H2" s="326"/>
      <c r="J2" s="114"/>
    </row>
    <row r="3" spans="2:10" s="59" customFormat="1" ht="24.9" customHeight="1" x14ac:dyDescent="0.4">
      <c r="B3" s="326" t="s">
        <v>238</v>
      </c>
      <c r="C3" s="326"/>
      <c r="D3" s="326"/>
      <c r="E3" s="326"/>
      <c r="F3" s="326"/>
      <c r="G3" s="326"/>
      <c r="H3" s="326"/>
      <c r="J3" s="114"/>
    </row>
    <row r="4" spans="2:10" ht="12.9" customHeight="1" x14ac:dyDescent="0.3">
      <c r="J4" s="116" t="s">
        <v>239</v>
      </c>
    </row>
    <row r="6" spans="2:10" s="61" customFormat="1" ht="25.2" customHeight="1" x14ac:dyDescent="0.3">
      <c r="B6" s="61" t="s">
        <v>15</v>
      </c>
      <c r="C6" s="61" t="s">
        <v>240</v>
      </c>
      <c r="D6" s="61" t="s">
        <v>241</v>
      </c>
      <c r="E6" s="61">
        <v>2910</v>
      </c>
      <c r="F6" s="61" t="s">
        <v>200</v>
      </c>
      <c r="H6" s="61" t="s">
        <v>242</v>
      </c>
      <c r="J6" s="62" t="s">
        <v>243</v>
      </c>
    </row>
    <row r="7" spans="2:10" s="61" customFormat="1" ht="25.2" customHeight="1" x14ac:dyDescent="0.3">
      <c r="B7" s="61" t="s">
        <v>205</v>
      </c>
      <c r="C7" s="61" t="s">
        <v>240</v>
      </c>
      <c r="D7" s="61" t="s">
        <v>241</v>
      </c>
      <c r="E7" s="61">
        <v>2910</v>
      </c>
      <c r="F7" s="61" t="s">
        <v>200</v>
      </c>
      <c r="H7" s="61" t="s">
        <v>242</v>
      </c>
      <c r="J7" s="62" t="s">
        <v>244</v>
      </c>
    </row>
    <row r="8" spans="2:10" s="61" customFormat="1" ht="25.2" customHeight="1" x14ac:dyDescent="0.3">
      <c r="B8" s="61" t="s">
        <v>212</v>
      </c>
      <c r="C8" s="61" t="s">
        <v>240</v>
      </c>
      <c r="D8" s="61" t="s">
        <v>241</v>
      </c>
      <c r="E8" s="61">
        <v>2910</v>
      </c>
      <c r="F8" s="61" t="s">
        <v>200</v>
      </c>
      <c r="G8" s="62"/>
      <c r="H8" s="61" t="s">
        <v>242</v>
      </c>
      <c r="J8" s="62" t="s">
        <v>245</v>
      </c>
    </row>
    <row r="9" spans="2:10" s="61" customFormat="1" ht="25.2" customHeight="1" x14ac:dyDescent="0.3">
      <c r="B9" s="61" t="s">
        <v>5</v>
      </c>
      <c r="C9" s="61" t="s">
        <v>246</v>
      </c>
      <c r="D9" s="61" t="s">
        <v>247</v>
      </c>
      <c r="E9" s="61">
        <v>2910</v>
      </c>
      <c r="F9" s="61" t="s">
        <v>200</v>
      </c>
      <c r="G9" s="62"/>
      <c r="H9" s="61" t="s">
        <v>248</v>
      </c>
      <c r="J9" s="62" t="s">
        <v>249</v>
      </c>
    </row>
    <row r="10" spans="2:10" s="61" customFormat="1" ht="25.2" customHeight="1" x14ac:dyDescent="0.35">
      <c r="B10" s="66" t="s">
        <v>6</v>
      </c>
      <c r="C10" s="61" t="s">
        <v>250</v>
      </c>
      <c r="D10" s="61" t="s">
        <v>251</v>
      </c>
      <c r="E10" s="61">
        <v>2910</v>
      </c>
      <c r="F10" s="61" t="s">
        <v>200</v>
      </c>
      <c r="G10" s="62"/>
      <c r="H10" s="61" t="s">
        <v>252</v>
      </c>
      <c r="J10" s="62" t="s">
        <v>249</v>
      </c>
    </row>
    <row r="11" spans="2:10" s="61" customFormat="1" ht="25.2" customHeight="1" x14ac:dyDescent="0.35">
      <c r="B11" s="66" t="s">
        <v>221</v>
      </c>
      <c r="C11" s="61" t="s">
        <v>253</v>
      </c>
      <c r="D11" s="61" t="s">
        <v>254</v>
      </c>
      <c r="E11" s="61">
        <v>2910</v>
      </c>
      <c r="F11" s="61" t="s">
        <v>200</v>
      </c>
      <c r="G11" s="62"/>
      <c r="H11" s="61" t="s">
        <v>255</v>
      </c>
      <c r="J11" s="62" t="s">
        <v>245</v>
      </c>
    </row>
    <row r="12" spans="2:10" s="61" customFormat="1" ht="25.2" customHeight="1" x14ac:dyDescent="0.35">
      <c r="B12" s="66" t="s">
        <v>11</v>
      </c>
      <c r="C12" s="61" t="s">
        <v>256</v>
      </c>
      <c r="D12" s="61" t="s">
        <v>257</v>
      </c>
      <c r="E12" s="61">
        <v>2910</v>
      </c>
      <c r="F12" s="61" t="s">
        <v>200</v>
      </c>
      <c r="G12" s="62"/>
      <c r="H12" s="61" t="s">
        <v>258</v>
      </c>
      <c r="J12" s="62" t="s">
        <v>243</v>
      </c>
    </row>
    <row r="13" spans="2:10" s="61" customFormat="1" ht="25.2" customHeight="1" x14ac:dyDescent="0.35">
      <c r="B13" s="66" t="s">
        <v>217</v>
      </c>
      <c r="C13" s="61" t="s">
        <v>259</v>
      </c>
      <c r="D13" s="61" t="s">
        <v>260</v>
      </c>
      <c r="E13" s="61" t="s">
        <v>261</v>
      </c>
      <c r="F13" s="61" t="s">
        <v>262</v>
      </c>
      <c r="G13" s="62" t="s">
        <v>263</v>
      </c>
      <c r="H13" s="61" t="s">
        <v>264</v>
      </c>
      <c r="J13" s="62" t="s">
        <v>243</v>
      </c>
    </row>
    <row r="14" spans="2:10" s="61" customFormat="1" ht="25.2" customHeight="1" x14ac:dyDescent="0.35">
      <c r="B14" s="66" t="s">
        <v>265</v>
      </c>
      <c r="C14" s="65" t="s">
        <v>266</v>
      </c>
      <c r="D14" s="61" t="s">
        <v>267</v>
      </c>
      <c r="E14" s="61">
        <v>2940</v>
      </c>
      <c r="F14" s="61" t="s">
        <v>268</v>
      </c>
      <c r="G14" s="62"/>
      <c r="H14" s="61" t="s">
        <v>269</v>
      </c>
      <c r="J14" s="62" t="s">
        <v>243</v>
      </c>
    </row>
    <row r="15" spans="2:10" s="61" customFormat="1" ht="25.2" customHeight="1" x14ac:dyDescent="0.35">
      <c r="B15" s="66" t="s">
        <v>7</v>
      </c>
      <c r="C15" s="61" t="s">
        <v>256</v>
      </c>
      <c r="D15" s="61" t="s">
        <v>257</v>
      </c>
      <c r="E15" s="61">
        <v>2910</v>
      </c>
      <c r="F15" s="61" t="s">
        <v>200</v>
      </c>
      <c r="G15" s="62"/>
      <c r="H15" s="61" t="s">
        <v>258</v>
      </c>
      <c r="J15" s="62" t="s">
        <v>243</v>
      </c>
    </row>
    <row r="16" spans="2:10" s="61" customFormat="1" ht="25.2" customHeight="1" x14ac:dyDescent="0.35">
      <c r="B16" s="66" t="s">
        <v>9</v>
      </c>
      <c r="C16" s="61" t="s">
        <v>256</v>
      </c>
      <c r="D16" s="61" t="s">
        <v>257</v>
      </c>
      <c r="E16" s="61">
        <v>2910</v>
      </c>
      <c r="F16" s="61" t="s">
        <v>200</v>
      </c>
      <c r="G16" s="62"/>
      <c r="H16" s="61" t="s">
        <v>258</v>
      </c>
      <c r="J16" s="62" t="s">
        <v>244</v>
      </c>
    </row>
    <row r="17" spans="2:10" s="61" customFormat="1" ht="25.2" customHeight="1" x14ac:dyDescent="0.35">
      <c r="B17" s="66" t="s">
        <v>12</v>
      </c>
      <c r="C17" s="65" t="s">
        <v>246</v>
      </c>
      <c r="D17" s="61" t="s">
        <v>247</v>
      </c>
      <c r="E17" s="61">
        <v>2910</v>
      </c>
      <c r="F17" s="61" t="s">
        <v>200</v>
      </c>
      <c r="G17" s="62"/>
      <c r="H17" s="61" t="s">
        <v>270</v>
      </c>
      <c r="J17" s="62" t="s">
        <v>271</v>
      </c>
    </row>
    <row r="18" spans="2:10" s="61" customFormat="1" ht="25.2" customHeight="1" x14ac:dyDescent="0.35">
      <c r="B18" s="66" t="s">
        <v>8</v>
      </c>
      <c r="C18" s="61" t="s">
        <v>272</v>
      </c>
      <c r="D18" s="61" t="s">
        <v>273</v>
      </c>
      <c r="E18" s="61">
        <v>2910</v>
      </c>
      <c r="F18" s="61" t="s">
        <v>200</v>
      </c>
      <c r="G18" s="62" t="s">
        <v>127</v>
      </c>
      <c r="H18" s="61" t="s">
        <v>274</v>
      </c>
      <c r="J18" s="62" t="s">
        <v>244</v>
      </c>
    </row>
    <row r="19" spans="2:10" s="61" customFormat="1" ht="25.2" customHeight="1" x14ac:dyDescent="0.3">
      <c r="B19" s="61" t="s">
        <v>292</v>
      </c>
      <c r="C19" s="61" t="s">
        <v>293</v>
      </c>
      <c r="D19" s="61" t="s">
        <v>294</v>
      </c>
      <c r="E19" s="61">
        <v>2910</v>
      </c>
      <c r="F19" s="61" t="s">
        <v>200</v>
      </c>
      <c r="G19" s="62"/>
      <c r="J19" s="62" t="s">
        <v>244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275</v>
      </c>
      <c r="D22" s="82" t="s">
        <v>276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277</v>
      </c>
      <c r="C24" s="61" t="s">
        <v>136</v>
      </c>
      <c r="D24" s="61" t="s">
        <v>278</v>
      </c>
      <c r="E24" s="61">
        <v>2910</v>
      </c>
      <c r="F24" s="61" t="s">
        <v>200</v>
      </c>
      <c r="G24" s="62"/>
      <c r="H24" s="61" t="s">
        <v>279</v>
      </c>
      <c r="I24" s="60" t="s">
        <v>280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281</v>
      </c>
      <c r="C26" s="61" t="s">
        <v>136</v>
      </c>
      <c r="D26" s="61" t="s">
        <v>278</v>
      </c>
      <c r="E26" s="61">
        <v>2910</v>
      </c>
      <c r="F26" s="61" t="s">
        <v>200</v>
      </c>
      <c r="G26" s="62"/>
      <c r="H26" s="61" t="s">
        <v>279</v>
      </c>
      <c r="I26" s="60" t="s">
        <v>280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282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345</v>
      </c>
      <c r="I30" s="60" t="s">
        <v>344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Filip Vossen</cp:lastModifiedBy>
  <cp:revision/>
  <cp:lastPrinted>2025-12-06T07:00:55Z</cp:lastPrinted>
  <dcterms:created xsi:type="dcterms:W3CDTF">2017-09-04T07:39:22Z</dcterms:created>
  <dcterms:modified xsi:type="dcterms:W3CDTF">2025-12-19T12:27:04Z</dcterms:modified>
  <cp:category/>
  <cp:contentStatus/>
</cp:coreProperties>
</file>