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E301809C-51AD-43A1-995F-DC0EFE0D7C54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28680" yWindow="810" windowWidth="30960" windowHeight="16800" tabRatio="955" activeTab="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3" i="15" l="1"/>
  <c r="O32" i="17"/>
  <c r="L94" i="17" l="1"/>
  <c r="N94" i="17"/>
  <c r="J19" i="15"/>
  <c r="L19" i="15"/>
  <c r="M62" i="17"/>
  <c r="M107" i="17"/>
  <c r="L107" i="17"/>
  <c r="J89" i="17"/>
  <c r="H89" i="17"/>
  <c r="J62" i="17"/>
  <c r="K14" i="17"/>
  <c r="K200" i="17"/>
  <c r="K156" i="17"/>
  <c r="H156" i="17"/>
  <c r="J189" i="17"/>
  <c r="H189" i="17"/>
  <c r="I19" i="9" l="1"/>
  <c r="H19" i="9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F55" i="17" l="1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S67" i="17" s="1"/>
  <c r="T62" i="17"/>
  <c r="T67" i="17" s="1"/>
  <c r="U62" i="17"/>
  <c r="U67" i="17" s="1"/>
  <c r="V62" i="17"/>
  <c r="V67" i="17" s="1"/>
  <c r="W62" i="17"/>
  <c r="W67" i="17" s="1"/>
  <c r="X62" i="17"/>
  <c r="X67" i="17" s="1"/>
  <c r="Y62" i="17"/>
  <c r="Y67" i="17" s="1"/>
  <c r="Z62" i="17"/>
  <c r="Z67" i="17" s="1"/>
  <c r="AA62" i="17"/>
  <c r="AA67" i="17" s="1"/>
  <c r="AB62" i="17"/>
  <c r="AB67" i="17" s="1"/>
  <c r="AC62" i="17"/>
  <c r="AC67" i="17" s="1"/>
  <c r="AD62" i="17"/>
  <c r="AD67" i="17" s="1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7" i="17" s="1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F67" i="17" s="1"/>
  <c r="G62" i="17"/>
  <c r="H62" i="17"/>
  <c r="I62" i="17"/>
  <c r="K62" i="17"/>
  <c r="L62" i="17"/>
  <c r="N62" i="17"/>
  <c r="O62" i="17"/>
  <c r="P62" i="17"/>
  <c r="Q62" i="17"/>
  <c r="Q67" i="17" s="1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P67" i="17" l="1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A9" i="18" s="1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N143" i="17" s="1"/>
  <c r="P142" i="17"/>
  <c r="P143" i="17" s="1"/>
  <c r="L142" i="17"/>
  <c r="L143" i="17" s="1"/>
  <c r="F142" i="17"/>
  <c r="O142" i="17"/>
  <c r="O143" i="17" s="1"/>
  <c r="E142" i="17"/>
  <c r="Q142" i="17"/>
  <c r="G142" i="17"/>
  <c r="H142" i="17"/>
  <c r="J142" i="17"/>
  <c r="J143" i="17" s="1"/>
  <c r="M142" i="17"/>
  <c r="M143" i="17" s="1"/>
  <c r="A15" i="17"/>
  <c r="L20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0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1" i="18" l="1"/>
  <c r="K36" i="17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L19" i="18" l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16" i="23" l="1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8" i="18" l="1"/>
  <c r="H17" i="18"/>
  <c r="F17" i="18"/>
  <c r="J17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7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7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4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4" i="18" s="1"/>
  <c r="AJ19" i="23"/>
  <c r="AO4" i="23"/>
  <c r="AN4" i="23"/>
  <c r="R19" i="23"/>
  <c r="F14" i="18" l="1"/>
  <c r="H14" i="18"/>
  <c r="AN19" i="23"/>
  <c r="J19" i="6"/>
  <c r="I19" i="6"/>
  <c r="N19" i="15"/>
  <c r="M19" i="15"/>
  <c r="K19" i="15"/>
  <c r="I19" i="15"/>
  <c r="H19" i="15"/>
  <c r="G19" i="15"/>
  <c r="F19" i="15"/>
  <c r="E19" i="15"/>
  <c r="I14" i="18" l="1"/>
  <c r="J14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5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19" i="18"/>
  <c r="A8" i="18"/>
  <c r="A16" i="18"/>
  <c r="A17" i="18"/>
  <c r="A11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0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7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5" i="18" s="1"/>
  <c r="C95" i="17"/>
  <c r="D15" i="18" s="1"/>
  <c r="R19" i="15"/>
  <c r="AO4" i="15"/>
  <c r="AM19" i="8"/>
  <c r="AL19" i="8"/>
  <c r="E10" i="18" s="1"/>
  <c r="C71" i="17"/>
  <c r="AL19" i="6"/>
  <c r="E16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9" i="18"/>
  <c r="I9" i="18" s="1"/>
  <c r="H9" i="18"/>
  <c r="F16" i="18"/>
  <c r="H16" i="18"/>
  <c r="F10" i="18"/>
  <c r="H10" i="18"/>
  <c r="E9" i="18"/>
  <c r="E17" i="18"/>
  <c r="H19" i="18"/>
  <c r="F19" i="18"/>
  <c r="H20" i="18"/>
  <c r="F20" i="18"/>
  <c r="F21" i="18"/>
  <c r="H21" i="18"/>
  <c r="F15" i="18"/>
  <c r="H15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1" i="18"/>
  <c r="AN19" i="7"/>
  <c r="AN19" i="13"/>
  <c r="AN19" i="12"/>
  <c r="D10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6" i="18" s="1"/>
  <c r="AI19" i="1"/>
  <c r="C4" i="17"/>
  <c r="AL19" i="4"/>
  <c r="E18" i="18" s="1"/>
  <c r="D19" i="18"/>
  <c r="AN19" i="8"/>
  <c r="D14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9" i="18"/>
  <c r="J16" i="18"/>
  <c r="I16" i="18"/>
  <c r="I10" i="18"/>
  <c r="J10" i="18"/>
  <c r="H13" i="18"/>
  <c r="F13" i="18"/>
  <c r="I19" i="18"/>
  <c r="J19" i="18"/>
  <c r="J20" i="18"/>
  <c r="I20" i="18"/>
  <c r="I11" i="18"/>
  <c r="J11" i="18"/>
  <c r="J15" i="18"/>
  <c r="I15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2" i="18"/>
  <c r="M81" i="17"/>
  <c r="C113" i="17"/>
  <c r="M12" i="18" s="1"/>
  <c r="AN19" i="3"/>
  <c r="AN19" i="4"/>
  <c r="AJ19" i="1"/>
  <c r="AM19" i="1"/>
  <c r="P19" i="1"/>
  <c r="AL4" i="1"/>
  <c r="C146" i="17" s="1"/>
  <c r="C158" i="17" s="1"/>
  <c r="D12" i="18" s="1"/>
  <c r="Q19" i="1"/>
  <c r="M20" i="18" l="1"/>
  <c r="M15" i="18"/>
  <c r="M11" i="18"/>
  <c r="I13" i="18"/>
  <c r="J13" i="18"/>
  <c r="E88" i="22"/>
  <c r="M19" i="18"/>
  <c r="M21" i="18"/>
  <c r="M10" i="18"/>
  <c r="M13" i="18"/>
  <c r="M16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4" i="17"/>
  <c r="K174" i="17" s="1"/>
  <c r="L174" i="17" s="1"/>
  <c r="M174" i="17" s="1"/>
  <c r="N174" i="17" s="1"/>
  <c r="O174" i="17" s="1"/>
  <c r="P174" i="17" s="1"/>
  <c r="C171" i="17"/>
  <c r="D8" i="18"/>
  <c r="A163" i="17"/>
  <c r="C163" i="17"/>
  <c r="Q174" i="17" l="1"/>
  <c r="R174" i="17" s="1"/>
  <c r="L9" i="18"/>
  <c r="M9" i="18"/>
  <c r="F12" i="18"/>
  <c r="H12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2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O81" i="17"/>
  <c r="P81" i="17" s="1"/>
  <c r="Q81" i="17" s="1"/>
  <c r="S174" i="17"/>
  <c r="T174" i="17" s="1"/>
  <c r="U174" i="17" s="1"/>
  <c r="V174" i="17" s="1"/>
  <c r="A14" i="18"/>
  <c r="A15" i="18"/>
  <c r="L16" i="18" l="1"/>
  <c r="M17" i="18"/>
  <c r="E106" i="22"/>
  <c r="D141" i="22"/>
  <c r="D106" i="22"/>
  <c r="E104" i="22"/>
  <c r="I12" i="18"/>
  <c r="J12" i="18"/>
  <c r="L12" i="18"/>
  <c r="M14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<sst xmlns="http://schemas.openxmlformats.org/spreadsheetml/2006/main" count="1112" uniqueCount="373">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</sst>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8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zoomScale="140" zoomScaleNormal="140" workbookViewId="0">
      <selection activeCell="H10" sqref="H10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4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2">
        <v>0</v>
      </c>
      <c r="B1" s="277" t="s">
        <v>305</v>
      </c>
      <c r="C1" s="278"/>
      <c r="D1" s="278"/>
    </row>
    <row r="2" spans="1:20" ht="17.25" customHeight="1" x14ac:dyDescent="0.3">
      <c r="A2" s="283"/>
      <c r="B2" s="278"/>
      <c r="C2" s="278"/>
      <c r="D2" s="278"/>
      <c r="E2" s="229" t="s">
        <v>335</v>
      </c>
    </row>
    <row r="3" spans="1:20" ht="21" customHeight="1" x14ac:dyDescent="0.35">
      <c r="B3" s="279" t="s">
        <v>0</v>
      </c>
      <c r="C3" s="279"/>
      <c r="D3" s="280"/>
      <c r="E3" s="264">
        <v>46003</v>
      </c>
    </row>
    <row r="4" spans="1:20" ht="16.2" customHeight="1" x14ac:dyDescent="0.5">
      <c r="B4" s="281" t="str">
        <f>IF(A8=26,"EINDSTAND", "TUSSENSTAND"  )</f>
        <v>TUSSENSTAND</v>
      </c>
      <c r="C4" s="281"/>
      <c r="D4" s="281"/>
      <c r="K4" s="46"/>
    </row>
    <row r="5" spans="1:20" ht="25.05" customHeight="1" thickBot="1" x14ac:dyDescent="0.55000000000000004">
      <c r="B5" s="281"/>
      <c r="C5" s="281"/>
      <c r="D5" s="281"/>
      <c r="E5" s="108"/>
      <c r="F5" s="108"/>
      <c r="G5" s="108"/>
      <c r="H5" s="108"/>
      <c r="I5" s="108"/>
      <c r="J5" s="108"/>
      <c r="K5" s="228"/>
      <c r="L5" s="255" t="s">
        <v>355</v>
      </c>
      <c r="M5" s="255" t="s">
        <v>356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6" t="s">
        <v>3</v>
      </c>
      <c r="E6" s="248" t="s">
        <v>350</v>
      </c>
      <c r="F6" s="276" t="s">
        <v>349</v>
      </c>
      <c r="G6" s="276"/>
      <c r="H6" s="276"/>
      <c r="I6" s="253" t="s">
        <v>353</v>
      </c>
      <c r="J6" s="254" t="s">
        <v>354</v>
      </c>
      <c r="K6" s="238"/>
      <c r="L6" s="256">
        <v>12</v>
      </c>
      <c r="M6" s="256">
        <v>12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3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368</v>
      </c>
      <c r="N7" s="239"/>
      <c r="O7" s="239"/>
      <c r="P7" s="239"/>
      <c r="Q7" s="239"/>
      <c r="R7" s="239"/>
      <c r="S7" s="237"/>
      <c r="T7" s="237"/>
    </row>
    <row r="8" spans="1:20" s="44" customFormat="1" ht="19.2" customHeight="1" x14ac:dyDescent="0.35">
      <c r="A8" s="218">
        <f>COUNTIF(Punten!$E$206:'Punten'!$AD$206,"&gt;0")</f>
        <v>12</v>
      </c>
      <c r="B8" s="219" t="s">
        <v>4</v>
      </c>
      <c r="C8" s="242" t="s">
        <v>8</v>
      </c>
      <c r="D8" s="234">
        <f>Punten!$C$207</f>
        <v>782.69999999999982</v>
      </c>
      <c r="E8" s="250">
        <f>Wildert2!$AL$19</f>
        <v>3217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VLOOKUP($C8,Punten!$D$4:$AD$222,1+$L$6,0)</f>
        <v>782.70000000000016</v>
      </c>
      <c r="M8" s="257">
        <f>VLOOKUP($C8,Punten!$C$4:$AD$222,2+$M$6,0)</f>
        <v>75.402000000000001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5">
      <c r="A9" s="218">
        <f>COUNTIF(Punten!E173:'Punten'!AD173,"&gt;0")</f>
        <v>12</v>
      </c>
      <c r="B9" s="219" t="s">
        <v>4</v>
      </c>
      <c r="C9" s="242" t="s">
        <v>14</v>
      </c>
      <c r="D9" s="227">
        <f>Punten!$C$174</f>
        <v>760.428</v>
      </c>
      <c r="E9" s="250">
        <f>DeBeek!$AL$19</f>
        <v>2219</v>
      </c>
      <c r="F9" s="240" t="str">
        <f>INDEX(Putte!$A$4:$A$18,MATCH(MAX(Putte!$AO$4:$AO$18),Putte!$AO$4:$AO$18,0))</f>
        <v>Van Den Bleeken Eddy</v>
      </c>
      <c r="G9" s="244"/>
      <c r="H9" s="251">
        <f>MAX(Putte!$AO$4:$AO$18)</f>
        <v>124.24242424242425</v>
      </c>
      <c r="I9" s="259">
        <f>VLOOKUP($F9,Putte!$A$4:$AO$18,40,0)</f>
        <v>27.333333333333332</v>
      </c>
      <c r="J9" s="260">
        <f>VLOOKUP($F9,Putte!$A$4:$AO$18,39,0)</f>
        <v>6</v>
      </c>
      <c r="K9" s="241"/>
      <c r="L9" s="257">
        <f>VLOOKUP($C9,Punten!$D$4:$AD$222,1+$L$6,0)</f>
        <v>760.42800000000011</v>
      </c>
      <c r="M9" s="257">
        <f>VLOOKUP($C9,Punten!$C$4:$AD$222,2+$M$6,0)</f>
        <v>65.843999999999994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5">
      <c r="A10" s="218">
        <f>COUNTIF(Punten!$E$128:'Punten'!$AD$128,"&gt;0")</f>
        <v>12</v>
      </c>
      <c r="B10" s="219" t="s">
        <v>4</v>
      </c>
      <c r="C10" s="242" t="s">
        <v>15</v>
      </c>
      <c r="D10" s="227">
        <f>Punten!$C$129</f>
        <v>733.20699999999999</v>
      </c>
      <c r="E10" s="250">
        <f>Meeuwkes!$AL$19</f>
        <v>2363.0001000000002</v>
      </c>
      <c r="F10" s="240" t="str">
        <f>INDEX(Meeuwkes!$A$4:$A$18,MATCH(MAX(Meeuwkes!$AO$4:$AO$18),Meeuwkes!$AO$4:$AO$18,0))</f>
        <v>Bove René</v>
      </c>
      <c r="G10" s="244"/>
      <c r="H10" s="251">
        <f>MAX(Meeuwkes!$AO$4:$AO$18)</f>
        <v>136.66666666666666</v>
      </c>
      <c r="I10" s="259">
        <f>VLOOKUP($F10,Meeuwkes!$A$4:$AO$18,40,0)</f>
        <v>27.333333333333332</v>
      </c>
      <c r="J10" s="260">
        <f>VLOOKUP($F10,Meeuwkes!$A$4:$AO$18,39,0)</f>
        <v>6</v>
      </c>
      <c r="K10" s="241"/>
      <c r="L10" s="257">
        <f>VLOOKUP($C10,Punten!$D$4:$AD$222,1+$L$6,0)</f>
        <v>733.20699999999988</v>
      </c>
      <c r="M10" s="257">
        <f>VLOOKUP($C10,Punten!$C$4:$AD$222,2+$M$6,0)</f>
        <v>61.689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5">
      <c r="A11" s="244">
        <f>COUNTIF(Punten!$E$67:'Punten'!$AD$67,"&gt;0")</f>
        <v>12</v>
      </c>
      <c r="B11" s="245" t="s">
        <v>4</v>
      </c>
      <c r="C11" s="246" t="s">
        <v>13</v>
      </c>
      <c r="D11" s="247">
        <f>Punten!$C$68</f>
        <v>730.76800000000003</v>
      </c>
      <c r="E11" s="250">
        <f>Meeuwen2!$AL$19</f>
        <v>2632</v>
      </c>
      <c r="F11" s="240" t="str">
        <f>INDEX(Meeuwen2!$A$4:$A$18,MATCH(MAX(Meeuwen2!$AO$4:$AO$18),Meeuwen2!$AO$4:$AO$18,0))</f>
        <v>Lucassen Rini</v>
      </c>
      <c r="G11" s="252"/>
      <c r="H11" s="251">
        <f>MAX(Meeuwen2!$AO$4:$AO$18)</f>
        <v>120.68965517241379</v>
      </c>
      <c r="I11" s="259">
        <f>VLOOKUP($F11,Meeuwen2!$A$4:$AO$18,40,0)</f>
        <v>35</v>
      </c>
      <c r="J11" s="260">
        <f>VLOOKUP($F11,Meeuwen2!$A$4:$AO$18,39,0)</f>
        <v>2</v>
      </c>
      <c r="K11" s="241"/>
      <c r="L11" s="257">
        <f>VLOOKUP($C11,Punten!$D$4:$AD$222,1+$L$6,0)</f>
        <v>730.76800000000003</v>
      </c>
      <c r="M11" s="257">
        <f>VLOOKUP($C11,Punten!$C$4:$AD$222,2+$M$6,0)</f>
        <v>56.548999999999999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5">
      <c r="A12" s="244">
        <f>COUNTIF(Punten!$E$157:'Punten'!$AD$157,"&gt;0")</f>
        <v>12</v>
      </c>
      <c r="B12" s="245" t="s">
        <v>4</v>
      </c>
      <c r="C12" s="246" t="s">
        <v>9</v>
      </c>
      <c r="D12" s="247">
        <f>Punten!$C$158</f>
        <v>719.49400000000014</v>
      </c>
      <c r="E12" s="250">
        <f>Rooiebal2!$AL$19</f>
        <v>2210</v>
      </c>
      <c r="F12" s="240" t="str">
        <f>INDEX(Rooiebal2!$A$4:$A$18,MATCH(MAX(Rooiebal2!$AO$4:$AO$18),Rooiebal2!$AO$4:$AO$18,0))</f>
        <v xml:space="preserve">Donckers Johnny </v>
      </c>
      <c r="G12" s="244"/>
      <c r="H12" s="251">
        <f>MAX(Rooiebal2!$AO$4:$AO$18)</f>
        <v>132</v>
      </c>
      <c r="I12" s="259">
        <f>VLOOKUP($F12,Rooiebal2!$A$4:$AO$18,40,0)</f>
        <v>33</v>
      </c>
      <c r="J12" s="260">
        <f>VLOOKUP($F12,Rooiebal2!$A$4:$AO$18,39,0)</f>
        <v>9</v>
      </c>
      <c r="K12" s="241"/>
      <c r="L12" s="257">
        <f>VLOOKUP($C12,Punten!$D$4:$AD$222,1+$L$6,0)</f>
        <v>719.49400000000003</v>
      </c>
      <c r="M12" s="257">
        <f>VLOOKUP($C12,Punten!$C$4:$AD$222,2+$M$6,0)</f>
        <v>60.03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5">
      <c r="A13" s="218">
        <f>COUNTIF(Punten!E112:'Punten'!AD112,"&gt;0")</f>
        <v>12</v>
      </c>
      <c r="B13" s="219" t="s">
        <v>4</v>
      </c>
      <c r="C13" s="242" t="s">
        <v>5</v>
      </c>
      <c r="D13" s="227">
        <f>Punten!$C$113</f>
        <v>719.29500000000007</v>
      </c>
      <c r="E13" s="250">
        <f>Oudeglorie!$AL$19</f>
        <v>2194</v>
      </c>
      <c r="F13" s="240" t="str">
        <f>INDEX(Oudeglorie!$A$4:$A$18,MATCH(MAX(Oudeglorie!$AO$4:$AO$18),Oudeglorie!$AO$4:$AO$18,0))</f>
        <v xml:space="preserve">Aerden Carl  </v>
      </c>
      <c r="G13" s="244"/>
      <c r="H13" s="251">
        <f>MAX(Oudeglorie!$AO$4:$AO$18)</f>
        <v>125</v>
      </c>
      <c r="I13" s="259">
        <f>VLOOKUP($F13,Oudeglorie!$A$4:$AO$18,40,0)</f>
        <v>30</v>
      </c>
      <c r="J13" s="260">
        <f>VLOOKUP($F13,Oudeglorie!$A$4:$AO$18,39,0)</f>
        <v>7</v>
      </c>
      <c r="K13" s="241"/>
      <c r="L13" s="257">
        <f>VLOOKUP($C13,Punten!$D$4:$AD$222,1+$L$6,0)</f>
        <v>719.29500000000007</v>
      </c>
      <c r="M13" s="257">
        <f>VLOOKUP($C13,Punten!$C$4:$AD$222,2+$M$6,0)</f>
        <v>53.646999999999998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5">
      <c r="A14" s="218">
        <f>COUNTIF(Punten!$E$190:'Punten'!$AD$190,"&gt;0")</f>
        <v>12</v>
      </c>
      <c r="B14" s="219" t="s">
        <v>4</v>
      </c>
      <c r="C14" s="243" t="s">
        <v>12</v>
      </c>
      <c r="D14" s="234">
        <f>Punten!$C$191</f>
        <v>717.44299999999998</v>
      </c>
      <c r="E14" s="250">
        <f>Wildert1!$AL$19</f>
        <v>2491</v>
      </c>
      <c r="F14" s="240" t="str">
        <f>INDEX(Wildert1!$A$4:$A$18,MATCH(MAX(Wildert1!$AO$4:$AO$18),Wildert1!$AO$4:$AO$18,0))</f>
        <v xml:space="preserve">Konings Guido </v>
      </c>
      <c r="G14" s="244"/>
      <c r="H14" s="251">
        <f>MAX(Wildert1!$AO$4:$AO$18)</f>
        <v>136.66666666666666</v>
      </c>
      <c r="I14" s="259">
        <f>VLOOKUP($F14,Wildert1!$A$4:$AO$18,40,0)</f>
        <v>32.799999999999997</v>
      </c>
      <c r="J14" s="260">
        <f>VLOOKUP($F14,Wildert1!$A$4:$AO$18,39,0)</f>
        <v>5</v>
      </c>
      <c r="K14" s="241"/>
      <c r="L14" s="257">
        <f>VLOOKUP($C14,Punten!$D$4:$AD$222,1+$L$6,0)</f>
        <v>717.44299999999987</v>
      </c>
      <c r="M14" s="257">
        <f>VLOOKUP($C14,Punten!$C$4:$AD$222,2+$M$6,0)</f>
        <v>56.846999999999994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5">
      <c r="A15" s="244">
        <f>COUNTIF(Punten!$E$94:'Punten'!$AD$94,"&gt;0")</f>
        <v>12</v>
      </c>
      <c r="B15" s="245" t="s">
        <v>4</v>
      </c>
      <c r="C15" s="246" t="s">
        <v>291</v>
      </c>
      <c r="D15" s="247">
        <f>Punten!$C$95</f>
        <v>709.32999999999993</v>
      </c>
      <c r="E15" s="250">
        <f>Nispen!$AL$19</f>
        <v>2271</v>
      </c>
      <c r="F15" s="240" t="str">
        <f>INDEX(Nispen!$A$4:$A$18,MATCH(MAX(Nispen!$AO$4:$AO$18),Nispen!$AO$4:$AO$18,0))</f>
        <v>Brouwers Vic</v>
      </c>
      <c r="G15" s="244"/>
      <c r="H15" s="251">
        <f>MAX(Nispen!$AO$4:$AO$18)</f>
        <v>105.88235294117648</v>
      </c>
      <c r="I15" s="259">
        <f>VLOOKUP($F15,Nispen!$A$4:$AO$18,40,0)</f>
        <v>72</v>
      </c>
      <c r="J15" s="260">
        <f>VLOOKUP($F15,Nispen!$A$4:$AO$18,39,0)</f>
        <v>11</v>
      </c>
      <c r="K15" s="241"/>
      <c r="L15" s="257">
        <f>VLOOKUP($C15,Punten!$D$4:$AD$222,1+$L$6,0)</f>
        <v>709.32999999999993</v>
      </c>
      <c r="M15" s="257">
        <f>VLOOKUP($C15,Punten!$C$4:$AD$222,2+$M$6,0)</f>
        <v>46.090999999999994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5">
      <c r="A16" s="218">
        <f>COUNTIF(Punten!$E$80:'Punten'!$AD$80,"&gt;0")</f>
        <v>12</v>
      </c>
      <c r="B16" s="219" t="s">
        <v>4</v>
      </c>
      <c r="C16" s="242" t="s">
        <v>11</v>
      </c>
      <c r="D16" s="227">
        <f>Punten!$C$81</f>
        <v>704.75200000000007</v>
      </c>
      <c r="E16" s="250">
        <f>Molenheike!$AL$19</f>
        <v>2741</v>
      </c>
      <c r="F16" s="240" t="str">
        <f>INDEX(Molenheike!$A$4:$A$18,MATCH(MAX(Molenheike!$AO$4:$AO$18),Molenheike!$AO$4:$AO$18,0))</f>
        <v>Keuppens Marc</v>
      </c>
      <c r="G16" s="244"/>
      <c r="H16" s="251">
        <f>MAX(Molenheike!$AO$4:$AO$18)</f>
        <v>120</v>
      </c>
      <c r="I16" s="259">
        <f>VLOOKUP($F16,Molenheike!$A$4:$AO$18,40,0)</f>
        <v>36</v>
      </c>
      <c r="J16" s="260">
        <f>VLOOKUP($F16,Molenheike!$A$4:$AO$18,39,0)</f>
        <v>8</v>
      </c>
      <c r="K16" s="241"/>
      <c r="L16" s="257">
        <f>VLOOKUP($C16,Punten!$D$4:$AD$222,1+$L$6,0)</f>
        <v>704.75200000000007</v>
      </c>
      <c r="M16" s="257">
        <f>VLOOKUP($C16,Punten!$C$4:$AD$222,2+$M$6,0)</f>
        <v>59.680999999999997</v>
      </c>
      <c r="N16" s="241"/>
      <c r="O16" s="241"/>
      <c r="P16" s="241"/>
      <c r="Q16" s="241"/>
      <c r="R16" s="241" t="s">
        <v>369</v>
      </c>
      <c r="S16" s="233"/>
      <c r="T16" s="233"/>
    </row>
    <row r="17" spans="1:20" s="44" customFormat="1" ht="20.100000000000001" customHeight="1" x14ac:dyDescent="0.35">
      <c r="A17" s="218">
        <f>COUNTIF(Punten!$E$221:'Punten'!$AD$221,"&gt;0")</f>
        <v>12</v>
      </c>
      <c r="B17" s="219" t="s">
        <v>4</v>
      </c>
      <c r="C17" s="242" t="s">
        <v>292</v>
      </c>
      <c r="D17" s="227">
        <f>Punten!$C$222</f>
        <v>701.86500000000001</v>
      </c>
      <c r="E17" s="250">
        <f>DeBeek!$AL$19</f>
        <v>2219</v>
      </c>
      <c r="F17" s="240" t="str">
        <f>INDEX(DeBeek!$A$4:$A$18,MATCH(MAX(DeBeek!$AO$4:$AO$18),DeBeek!$AO$4:$AO$18,0))</f>
        <v>Beyers Armand</v>
      </c>
      <c r="G17" s="244"/>
      <c r="H17" s="251">
        <f>MAX(DeBeek!$AO$4:$AO$18)</f>
        <v>125</v>
      </c>
      <c r="I17" s="259">
        <f>VLOOKUP($F17,DeBeek!$A$4:$AO$18,40,0)</f>
        <v>45</v>
      </c>
      <c r="J17" s="260">
        <f>VLOOKUP($F17,DeBeek!$A$4:$AO$18,39,0)</f>
        <v>6</v>
      </c>
      <c r="K17" s="241"/>
      <c r="L17" s="257">
        <f>VLOOKUP($C17,Punten!$D$4:$AD$222,1+$L$6,0)</f>
        <v>701.86500000000001</v>
      </c>
      <c r="M17" s="257">
        <f>VLOOKUP($C17,Punten!$C$4:$AD$222,2+$M$6,0)</f>
        <v>74.555999999999997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5">
      <c r="A18" s="218">
        <f>COUNTIF(Punten!$E$16:'Punten'!$AD$16,"&gt;0")</f>
        <v>12</v>
      </c>
      <c r="B18" s="219" t="s">
        <v>4</v>
      </c>
      <c r="C18" s="243" t="s">
        <v>6</v>
      </c>
      <c r="D18" s="227">
        <f>Punten!$C$17</f>
        <v>684.53400000000011</v>
      </c>
      <c r="E18" s="250">
        <f>Horendonk!$AL$19</f>
        <v>1855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VLOOKUP($C18,Punten!$D$4:$AD$222,1+$L$6,0)</f>
        <v>684.53400000000011</v>
      </c>
      <c r="M18" s="257">
        <f>VLOOKUP($C18,Punten!$C$4:$AD$222,2+$M$6,0)</f>
        <v>54.676000000000002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5">
      <c r="A19" s="244">
        <f>COUNTIF(Punten!$E$35:'Punten'!$AD$35,"&gt;0")</f>
        <v>12</v>
      </c>
      <c r="B19" s="245" t="s">
        <v>4</v>
      </c>
      <c r="C19" s="243" t="s">
        <v>10</v>
      </c>
      <c r="D19" s="247">
        <f>Punten!$C$36</f>
        <v>668.1930000000001</v>
      </c>
      <c r="E19" s="250">
        <f>Kerkuilen!$AL$19</f>
        <v>3013</v>
      </c>
      <c r="F19" s="240" t="str">
        <f>INDEX(Kerkuilen!$A$4:$A$18,MATCH(MAX(Kerkuilen!$AO$4:$AO$18),Kerkuilen!$AO$4:$AO$18,0))</f>
        <v>Van Oers John</v>
      </c>
      <c r="G19" s="244"/>
      <c r="H19" s="251">
        <f>MAX(Kerkuilen!$AO$4:$AO$18)</f>
        <v>135.48387096774192</v>
      </c>
      <c r="I19" s="259">
        <f>VLOOKUP($F19,Kerkuilen!$A$4:$AO$18,40,0)</f>
        <v>42</v>
      </c>
      <c r="J19" s="260">
        <f>VLOOKUP($F19,Kerkuilen!$A$4:$AO$18,39,0)</f>
        <v>1</v>
      </c>
      <c r="K19" s="241"/>
      <c r="L19" s="257">
        <f>VLOOKUP($C19,Punten!$D$4:$AD$222,1+$L$6,0)</f>
        <v>668.19299999999998</v>
      </c>
      <c r="M19" s="257">
        <f>VLOOKUP($C19,Punten!$C$4:$AD$222,2+$M$6,0)</f>
        <v>53.763999999999996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5">
      <c r="A20" s="244">
        <f>COUNTIF(Punten!$E$142:'Punten'!$AD$142,"&gt;0")</f>
        <v>12</v>
      </c>
      <c r="B20" s="245" t="s">
        <v>4</v>
      </c>
      <c r="C20" s="243" t="s">
        <v>7</v>
      </c>
      <c r="D20" s="247">
        <f>Punten!$C$143</f>
        <v>659.0200000000001</v>
      </c>
      <c r="E20" s="250">
        <f>Rooiebal1!$AL$19</f>
        <v>1900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VLOOKUP($C20,Punten!$D$4:$AD$222,1+$L$6,0)</f>
        <v>659.0200000000001</v>
      </c>
      <c r="M20" s="257">
        <f>VLOOKUP($C20,Punten!$C$4:$AD$222,2+$M$6,0)</f>
        <v>53.382999999999996</v>
      </c>
      <c r="N20" s="241"/>
      <c r="O20" s="241"/>
      <c r="P20" s="241"/>
      <c r="Q20" s="241"/>
      <c r="R20" s="241"/>
      <c r="S20" s="233"/>
      <c r="T20" s="233"/>
    </row>
    <row r="21" spans="1:20" ht="19.95" customHeight="1" x14ac:dyDescent="0.35">
      <c r="A21" s="244">
        <f>COUNTIF(Punten!$E$50:'Punten'!$AD$50,"&gt;0")</f>
        <v>12</v>
      </c>
      <c r="B21" s="245" t="s">
        <v>4</v>
      </c>
      <c r="C21" s="243" t="s">
        <v>16</v>
      </c>
      <c r="D21" s="247">
        <f>Punten!$C$51</f>
        <v>615.68600000000004</v>
      </c>
      <c r="E21" s="250">
        <f>Meeuwen1!$AL$19</f>
        <v>1651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111.60714285714286</v>
      </c>
      <c r="I21" s="259">
        <f>VLOOKUP($F21,Meeuwen1!$A$4:$AO$18,40,0)</f>
        <v>17.857142857142858</v>
      </c>
      <c r="J21" s="260">
        <f>VLOOKUP($F21,Meeuwen1!$A$4:$AO$18,39,0)</f>
        <v>7</v>
      </c>
      <c r="K21" s="35"/>
      <c r="L21" s="257">
        <f>VLOOKUP($C21,Punten!$D$4:$AD$222,1+$L$6,0)</f>
        <v>615.68600000000004</v>
      </c>
      <c r="M21" s="257">
        <f>VLOOKUP($C21,Punten!$C$4:$AD$222,2+$M$6,0)</f>
        <v>43.292000000000002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290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zoomScale="107" zoomScaleNormal="100" workbookViewId="0">
      <selection activeCell="O186" sqref="O186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6</v>
      </c>
      <c r="B4" s="28" t="str">
        <f>Horendonk!A4</f>
        <v>Ansems Ferre</v>
      </c>
      <c r="C4" s="32">
        <f>IF(Horendonk!AL4=0," ",SUM(E4:AD4))</f>
        <v>70.525000000000006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4</v>
      </c>
      <c r="B5" s="28" t="str">
        <f>Horendonk!A5</f>
        <v xml:space="preserve">Arnouts Louis    </v>
      </c>
      <c r="C5" s="32">
        <f>IF(Horendonk!AL5=0," ",SUM(E5:AD5))</f>
        <v>37.429000000000002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8</v>
      </c>
      <c r="B7" s="28" t="str">
        <f>Horendonk!A7</f>
        <v>De Backer Jef</v>
      </c>
      <c r="C7" s="32">
        <f>IF(Horendonk!AL7=0," ",SUM(E7:AD7))</f>
        <v>77.306999999999988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7</v>
      </c>
      <c r="B8" s="28" t="str">
        <f>Horendonk!A8</f>
        <v>Herreyers Remy</v>
      </c>
      <c r="C8" s="32">
        <f>IF(Horendonk!AL8=0," ",SUM(E8:AD8))</f>
        <v>53.748999999999995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6</v>
      </c>
      <c r="B9" s="80" t="str">
        <f>Horendonk!A9</f>
        <v>Maas Guy</v>
      </c>
      <c r="C9" s="32">
        <f>IF(Horendonk!AL9=0," ",SUM(E9:AD9))</f>
        <v>48.000000000000007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7</v>
      </c>
      <c r="B10" s="28" t="str">
        <f>Horendonk!A10</f>
        <v xml:space="preserve">Nelen Johan  </v>
      </c>
      <c r="C10" s="32">
        <f>IF(Horendonk!AL10=0," ",SUM(E10:AD10))</f>
        <v>70.665999999999997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7</v>
      </c>
      <c r="B11" s="28" t="str">
        <f>Horendonk!A11</f>
        <v>Oerlemans Willy</v>
      </c>
      <c r="C11" s="32">
        <f>IF(Horendonk!AL11=0," ",SUM(E11:AD11))</f>
        <v>64.287000000000006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10</v>
      </c>
      <c r="B12" s="28" t="str">
        <f>Horendonk!A12</f>
        <v>Siemons Jos</v>
      </c>
      <c r="C12" s="32">
        <f>IF(Horendonk!AL12=0," ",SUM(E12:AD12))</f>
        <v>98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7</v>
      </c>
      <c r="B13" s="28" t="str">
        <f>Horendonk!A13</f>
        <v>Van Aert André</v>
      </c>
      <c r="C13" s="32">
        <f>IF(Horendonk!AL13=0," ",SUM(E13:AD13))</f>
        <v>63.792000000000002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8</v>
      </c>
      <c r="B15" s="81" t="str">
        <f>Horendonk!A15</f>
        <v xml:space="preserve">Vergouwen René </v>
      </c>
      <c r="C15" s="32">
        <f>IF(Horendonk!AL15=0," ",SUM(E15:AD15))</f>
        <v>76.334000000000003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684.53400000000011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5</v>
      </c>
      <c r="B20" s="28" t="str">
        <f>Kerkuilen!A4</f>
        <v xml:space="preserve">Antonissen Gust      </v>
      </c>
      <c r="C20" s="32">
        <f>IF(Kerkuilen!AL4=0," ",SUM(E20:AD20))</f>
        <v>51.290000000000006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4</v>
      </c>
      <c r="B21" s="28" t="str">
        <f>Kerkuilen!A5</f>
        <v>De Kaey Piet</v>
      </c>
      <c r="C21" s="32">
        <f>IF(Kerkuilen!AL5=0," ",SUM(E21:AD21))</f>
        <v>42.116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7</v>
      </c>
      <c r="B25" s="28" t="str">
        <f>Kerkuilen!A9</f>
        <v>Lambrechts Jef</v>
      </c>
      <c r="C25" s="32">
        <f>IF(Kerkuilen!AL9=0," ",SUM(E25:AD25))</f>
        <v>67.17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5</v>
      </c>
      <c r="B26" s="28" t="str">
        <f>Kerkuilen!A10</f>
        <v>Naulaerts Rik</v>
      </c>
      <c r="C26" s="32">
        <f>IF(Kerkuilen!AL10=0," ",SUM(E26:AD26))</f>
        <v>46.078000000000003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9</v>
      </c>
      <c r="B28" s="28" t="str">
        <f>Kerkuilen!A12</f>
        <v>Pleysier Luc</v>
      </c>
      <c r="C28" s="32">
        <f>IF(Kerkuilen!AL12=0," ",SUM(E28:AD28))</f>
        <v>72.89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6</v>
      </c>
      <c r="B29" s="28" t="str">
        <f>Kerkuilen!A13</f>
        <v xml:space="preserve">Quick Gerard </v>
      </c>
      <c r="C29" s="32">
        <f>IF(Kerkuilen!AL13=0," ",SUM(E29:AD29))</f>
        <v>63.076000000000008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8</v>
      </c>
      <c r="B30" s="80" t="str">
        <f>Kerkuilen!A14</f>
        <v>Schrooyen Jef</v>
      </c>
      <c r="C30" s="32">
        <f>IF(Kerkuilen!AL14=0," ",SUM(E30:AD30))</f>
        <v>65.293999999999997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6</v>
      </c>
      <c r="B31" s="28" t="str">
        <f>Kerkuilen!A15</f>
        <v>Uytdewilligen Hubert</v>
      </c>
      <c r="C31" s="32">
        <f>IF(Kerkuilen!AL15=0," ",SUM(E31:AD31))</f>
        <v>57.575000000000003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3</v>
      </c>
      <c r="B32" s="38" t="str">
        <f>Kerkuilen!A16</f>
        <v>Van Ginneken Cyriel [NS 20]</v>
      </c>
      <c r="C32" s="32">
        <f>IF(Kerkuilen!AL16=0," ",SUM(E32:AD32))</f>
        <v>22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6</v>
      </c>
      <c r="B33" s="38" t="str">
        <f>Kerkuilen!A17</f>
        <v>Van Oers Danny  [NS 50]</v>
      </c>
      <c r="C33" s="32">
        <f>IF(Kerkuilen!AL17=0," ",SUM(E33:AD33))</f>
        <v>59.853999999999999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668.1930000000001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8</v>
      </c>
      <c r="B39" s="28" t="str">
        <f>Meeuwen1!A4</f>
        <v>Aerts Adri</v>
      </c>
      <c r="C39" s="32">
        <f>IF(Meeuwen1!AL4=0," ",SUM(E39:AD39))</f>
        <v>81.564000000000007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8</v>
      </c>
      <c r="B40" s="28" t="str">
        <f>Meeuwen1!A5</f>
        <v>Bocken Jean Pierre</v>
      </c>
      <c r="C40" s="32">
        <f>IF(Meeuwen1!AL5=0," ",SUM(E40:AD40))</f>
        <v>57.22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7</v>
      </c>
      <c r="B41" s="28" t="str">
        <f>Meeuwen1!A6</f>
        <v xml:space="preserve">Bocken Lambert  </v>
      </c>
      <c r="C41" s="32">
        <f>IF(Meeuwen1!AL6=0," ",SUM(E41:AD41))</f>
        <v>62.143000000000001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8</v>
      </c>
      <c r="B42" s="28" t="str">
        <f>Meeuwen1!A7</f>
        <v>Goetschalkx Herman</v>
      </c>
      <c r="C42" s="32">
        <f>IF(Meeuwen1!AL7=0," ",SUM(E42:AD42))</f>
        <v>55.334000000000003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4</v>
      </c>
      <c r="B44" s="28" t="str">
        <f>Meeuwen1!A9</f>
        <v>Meeusen Marc</v>
      </c>
      <c r="C44" s="32">
        <f>IF(Meeuwen1!AL9=0," ",SUM(E44:AD44))</f>
        <v>31.439999999999998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7</v>
      </c>
      <c r="B45" s="28" t="str">
        <f>Meeuwen1!A10</f>
        <v>Van Loon Marc</v>
      </c>
      <c r="C45" s="32">
        <f>IF(Meeuwen1!AL10=0," ",SUM(E45:AD45))</f>
        <v>70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7</v>
      </c>
      <c r="B47" s="28" t="str">
        <f>Meeuwen1!A12</f>
        <v>Veraart Jos</v>
      </c>
      <c r="C47" s="32">
        <f>IF(Meeuwen1!AL12=0," ",SUM(E47:AD47))</f>
        <v>46.875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7</v>
      </c>
      <c r="B48" s="80" t="str">
        <f>Meeuwen1!A13</f>
        <v>Vossen Filip</v>
      </c>
      <c r="C48" s="32">
        <f>IF(Meeuwen1!AL13=0," ",SUM(E48:AD48))</f>
        <v>78.125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9</v>
      </c>
      <c r="B49" s="38" t="str">
        <f>Meeuwen1!A14</f>
        <v>Vossen Ronny  [NS 20]</v>
      </c>
      <c r="C49" s="32">
        <f>IF(Meeuwen1!AL14=0," ",SUM(E49:AD49))</f>
        <v>71.167000000000002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615.68600000000004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5</v>
      </c>
      <c r="B54" s="28" t="str">
        <f>Meeuwen2!A4</f>
        <v>Brouwers Gerard</v>
      </c>
      <c r="C54" s="32">
        <f>IF(Meeuwen2!AL4=0," ",SUM(E54:AD54))</f>
        <v>36.667000000000002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9</v>
      </c>
      <c r="B55" s="28" t="str">
        <f>Meeuwen2!A5</f>
        <v>De Backer Jerome</v>
      </c>
      <c r="C55" s="32">
        <f>IF(Meeuwen2!AL5=0," ",SUM(E55:AD55))</f>
        <v>108.158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7</v>
      </c>
      <c r="B57" s="28" t="str">
        <f>Meeuwen2!A7</f>
        <v xml:space="preserve">Jacobs Hugo            </v>
      </c>
      <c r="C57" s="32">
        <f>IF(Meeuwen2!AL7=0," ",SUM(E57:AD57))</f>
        <v>67.941000000000003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5</v>
      </c>
      <c r="B58" s="28" t="str">
        <f>Meeuwen2!A8</f>
        <v>Jacobs Willy</v>
      </c>
      <c r="C58" s="32">
        <f>IF(Meeuwen2!AL8=0," ",SUM(E58:AD58))</f>
        <v>40.75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8</v>
      </c>
      <c r="B61" s="28" t="str">
        <f>Meeuwen2!A11</f>
        <v xml:space="preserve">Present Fons </v>
      </c>
      <c r="C61" s="32">
        <f>IF(Meeuwen2!AL11=0," ",SUM(E61:AD61))</f>
        <v>90.001000000000019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4</v>
      </c>
      <c r="B62" s="38" t="str">
        <f>Meeuwen2!A12</f>
        <v>Present Marc [NS 20]</v>
      </c>
      <c r="C62" s="32">
        <f>IF(Meeuwen2!AL12=0," ",SUM(E62:AD62))</f>
        <v>44.864000000000004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7</v>
      </c>
      <c r="B63" s="28" t="str">
        <f>Meeuwen2!A13</f>
        <v>Suykerbuyk Stan</v>
      </c>
      <c r="C63" s="32">
        <f>IF(Meeuwen2!AL13=0," ",SUM(E63:AD63))</f>
        <v>81.212000000000003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8</v>
      </c>
      <c r="B64" s="28" t="str">
        <f>Meeuwen2!A14</f>
        <v xml:space="preserve">Vandersanden Lucien </v>
      </c>
      <c r="C64" s="32">
        <f>IF(Meeuwen2!AL14=0," ",SUM(E64:AD64))</f>
        <v>73.332999999999998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6</v>
      </c>
      <c r="B65" s="28" t="str">
        <f>Meeuwen2!A15</f>
        <v>Van Dorst Alfons</v>
      </c>
      <c r="C65" s="32">
        <f>IF(Meeuwen2!AL15=0," ",SUM(E65:AD65))</f>
        <v>63.388999999999996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9</v>
      </c>
      <c r="B66" s="28" t="str">
        <f>Meeuwen2!A16</f>
        <v xml:space="preserve">Van Thillo Sis   </v>
      </c>
      <c r="C66" s="32">
        <f>IF(Meeuwen2!AL16=0," ",SUM(E66:AD66))</f>
        <v>89.064999999999998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730.76800000000003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6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6</v>
      </c>
      <c r="B71" s="28" t="str">
        <f>Molenheike!A4</f>
        <v xml:space="preserve">Brauns Martin    </v>
      </c>
      <c r="C71" s="32">
        <f>IF(Molenheike!AL4=0," ",SUM(E71:AD71))</f>
        <v>55.789000000000001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8</v>
      </c>
      <c r="B72" s="28" t="str">
        <f>Molenheike!A5</f>
        <v>Brosens Luc</v>
      </c>
      <c r="C72" s="32">
        <f>IF(Molenheike!AL5=0," ",SUM(E72:AD72))</f>
        <v>70.689999999999984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9</v>
      </c>
      <c r="B73" s="80" t="str">
        <f>Molenheike!A6</f>
        <v>Dhooghe Jan</v>
      </c>
      <c r="C73" s="32">
        <f>IF(Molenheike!AL6=0," ",SUM(E73:AD73))</f>
        <v>95.555999999999997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8</v>
      </c>
      <c r="B74" s="28" t="str">
        <f>Molenheike!A7</f>
        <v>Keuppens Marc</v>
      </c>
      <c r="C74" s="32">
        <f>IF(Molenheike!AL7=0," ",SUM(E74:AD74))</f>
        <v>96.001000000000005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8</v>
      </c>
      <c r="B75" s="28" t="str">
        <f>Molenheike!A8</f>
        <v>Lambrechts Ferdy</v>
      </c>
      <c r="C75" s="32">
        <f>IF(Molenheike!AL8=0," ",SUM(E75:AD75))</f>
        <v>79.056999999999988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6</v>
      </c>
      <c r="B76" s="28" t="str">
        <f>Molenheike!A9</f>
        <v>Nelen Marc</v>
      </c>
      <c r="C76" s="32">
        <f>IF(Molenheike!AL9=0," ",SUM(E76:AD76))</f>
        <v>41.667000000000002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10</v>
      </c>
      <c r="B78" s="28" t="str">
        <f>Molenheike!A11</f>
        <v>Van Ginderen Jef</v>
      </c>
      <c r="C78" s="32">
        <f>IF(Molenheike!AL11=0," ",SUM(E78:AD78))</f>
        <v>101.29700000000001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9</v>
      </c>
      <c r="B79" s="28" t="str">
        <f>Molenheike!A12</f>
        <v>Van Ginderen Willy</v>
      </c>
      <c r="C79" s="32">
        <f>IF(Molenheike!AL12=0," ",SUM(E79:AD79))</f>
        <v>85.945000000000007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704.75200000000007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11</v>
      </c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11</v>
      </c>
      <c r="B84" s="28" t="str">
        <f>Nispen!A4</f>
        <v>Bastiaensen Jan</v>
      </c>
      <c r="C84" s="32">
        <f>IF(Nispen!AL4=0," ",SUM(E84:AD84))</f>
        <v>114.19199999999998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8</v>
      </c>
      <c r="B85" s="28" t="str">
        <f>Nispen!A5</f>
        <v>Botermans Jan</v>
      </c>
      <c r="C85" s="32">
        <f>IF(Nispen!AL5=0," ",SUM(E85:AD85))</f>
        <v>67.5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11</v>
      </c>
      <c r="B86" s="28" t="str">
        <f>Nispen!A6</f>
        <v>Brouwers Vic</v>
      </c>
      <c r="C86" s="32">
        <f>IF(Nispen!AL6=0," ",SUM(E86:AD86))</f>
        <v>116.47000000000001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5</v>
      </c>
      <c r="B87" s="80" t="str">
        <f>Nispen!A7</f>
        <v>Cappaert Ivan</v>
      </c>
      <c r="C87" s="32">
        <f>IF(Nispen!AL7=0," ",SUM(E87:AD87))</f>
        <v>50.856999999999999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7</v>
      </c>
      <c r="B88" s="28" t="str">
        <f>Nispen!A8</f>
        <v xml:space="preserve">Kerstens Jac     </v>
      </c>
      <c r="C88" s="32">
        <f>IF(Nispen!AL8=0," ",SUM(E88:AD88))</f>
        <v>64.286000000000001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10</v>
      </c>
      <c r="B90" s="34" t="str">
        <f>Nispen!A10</f>
        <v>Martens Gerrit [OS]</v>
      </c>
      <c r="C90" s="32">
        <f>IF(Nispen!AL10=0," ",SUM(E90:AD90))</f>
        <v>105.33199999999999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6</v>
      </c>
      <c r="B92" s="28" t="str">
        <f>Nispen!A12</f>
        <v xml:space="preserve">Raats Antoon </v>
      </c>
      <c r="C92" s="32">
        <f>IF(Nispen!AL12=0," ",SUM(E92:AD92))</f>
        <v>51.579999999999991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8</v>
      </c>
      <c r="B93" s="28" t="str">
        <f>Nispen!A13</f>
        <v>Uijdehaag Nico</v>
      </c>
      <c r="C93" s="32">
        <f>IF(Nispen!AL13=0," ",SUM(E93:AD93))</f>
        <v>79.564999999999998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291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709.32999999999993</v>
      </c>
      <c r="D95" s="215" t="s">
        <v>291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7</v>
      </c>
      <c r="B98" s="28" t="str">
        <f>Oudeglorie!A4</f>
        <v xml:space="preserve">Aerden Carl  </v>
      </c>
      <c r="C98" s="32">
        <f>IF(Oudeglorie!AL4=0," ",SUM(E98:AD98))</f>
        <v>87.501000000000005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4</v>
      </c>
      <c r="B99" s="28" t="str">
        <f>Oudeglorie!A5</f>
        <v xml:space="preserve">Beyers Jos    </v>
      </c>
      <c r="C99" s="32">
        <f>IF(Oudeglorie!AL5=0," ",SUM(E99:AD99))</f>
        <v>41.851999999999997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8</v>
      </c>
      <c r="B101" s="28" t="str">
        <f>Oudeglorie!A7</f>
        <v>Braat Guido</v>
      </c>
      <c r="C101" s="32">
        <f>IF(Oudeglorie!AL7=0," ",SUM(E101:AD101))</f>
        <v>84.826999999999998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6</v>
      </c>
      <c r="B103" s="28" t="str">
        <f>Oudeglorie!A9</f>
        <v>Gommers Jac</v>
      </c>
      <c r="C103" s="32">
        <f>IF(Oudeglorie!AL9=0," ",SUM(E103:AD103))</f>
        <v>55.000999999999998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5</v>
      </c>
      <c r="B104" s="28" t="str">
        <f>Oudeglorie!A10</f>
        <v>Jacobs Alfons</v>
      </c>
      <c r="C104" s="32">
        <f>IF(Oudeglorie!AL10=0," ",SUM(E104:AD104))</f>
        <v>35.713999999999999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5</v>
      </c>
      <c r="B105" s="28" t="str">
        <f>Oudeglorie!A11</f>
        <v>Jacobs Frans</v>
      </c>
      <c r="C105" s="32">
        <f>IF(Oudeglorie!AL11=0," ",SUM(E105:AD105))</f>
        <v>50.805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5</v>
      </c>
      <c r="B106" s="28" t="str">
        <f>Oudeglorie!A12</f>
        <v>Nelen Frans</v>
      </c>
      <c r="C106" s="32">
        <f>IF(Oudeglorie!AL12=0," ",SUM(E106:AD106))</f>
        <v>55.6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5</v>
      </c>
      <c r="B107" s="38" t="str">
        <f>Oudeglorie!A13</f>
        <v>Nelen Jef  [NS 25]</v>
      </c>
      <c r="C107" s="32">
        <f>IF(Oudeglorie!AL13=0," ",SUM(E107:AD107))</f>
        <v>50.030999999999992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6</v>
      </c>
      <c r="B108" s="28" t="str">
        <f>Oudeglorie!A14</f>
        <v xml:space="preserve">Somers Ludo </v>
      </c>
      <c r="C108" s="32">
        <f>IF(Oudeglorie!AL14=0," ",SUM(E108:AD108))</f>
        <v>44.411999999999999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6</v>
      </c>
      <c r="B109" s="28" t="str">
        <f>Oudeglorie!A15</f>
        <v xml:space="preserve">Van Ginderen Ludo </v>
      </c>
      <c r="C109" s="32">
        <f>IF(Oudeglorie!AL15=0," ",SUM(E109:AD109))</f>
        <v>64.11699999999999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5</v>
      </c>
      <c r="B111" s="28" t="str">
        <f>Oudeglorie!A17</f>
        <v>Willemsen Willy</v>
      </c>
      <c r="C111" s="32">
        <f>IF(Oudeglorie!AL17=0," ",SUM(E111:AD111))</f>
        <v>59.19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719.29500000000007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6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5</v>
      </c>
      <c r="B117" s="28" t="str">
        <f>Meeuwkes!A5</f>
        <v>Buggenhout Danny</v>
      </c>
      <c r="C117" s="32">
        <f>IF(Meeuwkes!AL5=0," ",SUM(E117:AD117))</f>
        <v>47.073999999999998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4</v>
      </c>
      <c r="B118" s="28" t="str">
        <f>Meeuwkes!A6</f>
        <v>Deckx Achiel</v>
      </c>
      <c r="C118" s="32">
        <f>IF(Meeuwkes!AL6=0," ",SUM(E118:AD118))</f>
        <v>42.368000000000002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10</v>
      </c>
      <c r="B119" s="28" t="str">
        <f>Meeuwkes!A7</f>
        <v>Herreygers Leon</v>
      </c>
      <c r="C119" s="32">
        <f>IF(Meeuwkes!AL7=0," ",SUM(E119:AD119))</f>
        <v>113.2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7</v>
      </c>
      <c r="B120" s="28" t="str">
        <f>Meeuwkes!A8</f>
        <v>Loos Piet</v>
      </c>
      <c r="C120" s="32">
        <f>IF(Meeuwkes!AL8=0," ",SUM(E120:AD120))</f>
        <v>46.001000000000005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8</v>
      </c>
      <c r="B121" s="80" t="str">
        <f>Meeuwkes!A9</f>
        <v xml:space="preserve">Quick Louis </v>
      </c>
      <c r="C121" s="32">
        <f>IF(Meeuwkes!AL9=0," ",SUM(E121:AD121))</f>
        <v>85.899000000000001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5</v>
      </c>
      <c r="B122" s="28" t="str">
        <f>Meeuwkes!A10</f>
        <v>Reyssens Martin</v>
      </c>
      <c r="C122" s="32">
        <f>IF(Meeuwkes!AL10=0," ",SUM(E122:AD122))</f>
        <v>50.87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7</v>
      </c>
      <c r="B123" s="28" t="str">
        <f>Meeuwkes!A11</f>
        <v xml:space="preserve">Schenk André </v>
      </c>
      <c r="C123" s="32">
        <f>IF(Meeuwkes!AL11=0," ",SUM(E123:AD123))</f>
        <v>92.188000000000017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7</v>
      </c>
      <c r="B125" s="28" t="str">
        <f>Meeuwkes!A13</f>
        <v xml:space="preserve">De Roomer Jan    </v>
      </c>
      <c r="C125" s="32">
        <f>IF(Meeuwkes!AL13=0," ",SUM(E125:AD125))</f>
        <v>62.593999999999994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7</v>
      </c>
      <c r="B127" s="28" t="str">
        <f>Meeuwkes!A15</f>
        <v xml:space="preserve">Schenk Stanny  </v>
      </c>
      <c r="C127" s="32">
        <f>IF(Meeuwkes!AL15=0," ",SUM(E127:AD127))</f>
        <v>61.875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733.20699999999999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6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9</v>
      </c>
      <c r="B132" s="28" t="str">
        <f>Rooiebal1!A4</f>
        <v>Aerts Jan</v>
      </c>
      <c r="C132" s="32">
        <f>IF(Rooiebal1!AL4=0," ",SUM(E132:AD132))</f>
        <v>94.738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10</v>
      </c>
      <c r="B133" s="28" t="str">
        <f>Rooiebal1!A5</f>
        <v xml:space="preserve">Dictus Peter       </v>
      </c>
      <c r="C133" s="32">
        <f>IF(Rooiebal1!AL5=0," ",SUM(E133:AD133))</f>
        <v>80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6</v>
      </c>
      <c r="B134" s="80" t="str">
        <f>Rooiebal1!A6</f>
        <v xml:space="preserve">Hereygers Cis     </v>
      </c>
      <c r="C134" s="32">
        <f>IF(Rooiebal1!AL6=0," ",SUM(E134:AD134))</f>
        <v>48.823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6</v>
      </c>
      <c r="B135" s="28" t="str">
        <f>Rooiebal1!A7</f>
        <v xml:space="preserve">Karremans Dries  </v>
      </c>
      <c r="C135" s="32">
        <f>IF(Rooiebal1!AL7=0," ",SUM(E135:AD135))</f>
        <v>68.75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6</v>
      </c>
      <c r="B136" s="28" t="str">
        <f>Rooiebal1!A8</f>
        <v xml:space="preserve">Nelen Ronny       </v>
      </c>
      <c r="C136" s="32">
        <f>IF(Rooiebal1!AL8=0," ",SUM(E136:AD136))</f>
        <v>52.424999999999997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8</v>
      </c>
      <c r="B137" s="28" t="str">
        <f>Rooiebal1!A9</f>
        <v>Raeymakers Liliane</v>
      </c>
      <c r="C137" s="32">
        <f>IF(Rooiebal1!AL9=0," ",SUM(E137:AD137))</f>
        <v>78.097000000000008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7</v>
      </c>
      <c r="B139" s="81" t="str">
        <f>Rooiebal1!A11</f>
        <v>Van Hooydonck René</v>
      </c>
      <c r="C139" s="32">
        <f>IF(Rooiebal1!AL11=0," ",SUM(E139:AD139))</f>
        <v>51.481999999999992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10</v>
      </c>
      <c r="B140" s="81" t="str">
        <f>Rooiebal1!A12</f>
        <v>Van Oers Theo</v>
      </c>
      <c r="C140" s="32">
        <f>IF(Rooiebal1!AL12=0," ",SUM(E140:AD140))</f>
        <v>90.295000000000002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8</v>
      </c>
      <c r="B141" s="28" t="str">
        <f>Rooiebal1!A13</f>
        <v>Vergouwen Willy</v>
      </c>
      <c r="C141" s="32">
        <f>IF(Rooiebal1!AL13=0," ",SUM(E141:AD141))</f>
        <v>65.715000000000003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659.0200000000001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4</v>
      </c>
      <c r="B146" s="128" t="str">
        <f>Rooiebal2!A4</f>
        <v xml:space="preserve">Costermans Leo   </v>
      </c>
      <c r="C146" s="32">
        <f>IF(Rooiebal2!AL4=0," ",SUM(E146:AD146))</f>
        <v>46.667000000000002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6</v>
      </c>
      <c r="B147" s="128" t="str">
        <f>Rooiebal2!A5</f>
        <v>Dictus Fred</v>
      </c>
      <c r="C147" s="32">
        <f>IF(Rooiebal2!AL5=0," ",SUM(E147:AD147))</f>
        <v>55.424000000000007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9</v>
      </c>
      <c r="B148" s="128" t="str">
        <f>Rooiebal2!A6</f>
        <v xml:space="preserve">Donckers Johnny </v>
      </c>
      <c r="C148" s="32">
        <f>IF(Rooiebal2!AL6=0," ",SUM(E148:AD148))</f>
        <v>118.8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8</v>
      </c>
      <c r="B149" s="128" t="str">
        <f>Rooiebal2!A7</f>
        <v>Goossen Winnie</v>
      </c>
      <c r="C149" s="32">
        <f>IF(Rooiebal2!AL7=0," ",SUM(E149:AD149))</f>
        <v>84.516000000000005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6</v>
      </c>
      <c r="B150" s="129" t="str">
        <f>Rooiebal2!A8</f>
        <v>Lodewijckx Willy</v>
      </c>
      <c r="C150" s="32">
        <f>IF(Rooiebal2!AL8=0," ",SUM(E150:AD150))</f>
        <v>66.75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7</v>
      </c>
      <c r="B152" s="128" t="str">
        <f>Rooiebal2!A10</f>
        <v>Ossenblok Ed</v>
      </c>
      <c r="C152" s="32">
        <f>IF(Rooiebal2!AL10=0," ",SUM(E152:AD152))</f>
        <v>69.143000000000001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6</v>
      </c>
      <c r="B153" s="128" t="str">
        <f>Rooiebal2!A11</f>
        <v>Suykerbuyk Cis</v>
      </c>
      <c r="C153" s="32">
        <f>IF(Rooiebal2!AL11=0," ",SUM(E153:AD153))</f>
        <v>48.667999999999999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7</v>
      </c>
      <c r="B154" s="128" t="str">
        <f>Rooiebal2!A12</f>
        <v>Swinnen Michel</v>
      </c>
      <c r="C154" s="32">
        <f>IF(Rooiebal2!AL12=0," ",SUM(E154:AD154))</f>
        <v>77.105000000000004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8</v>
      </c>
      <c r="B155" s="128" t="str">
        <f>Rooiebal2!A13</f>
        <v>Veraart Swa</v>
      </c>
      <c r="C155" s="32">
        <f>IF(Rooiebal2!AL13=0," ",SUM(E155:AD155))</f>
        <v>84.167000000000002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6</v>
      </c>
      <c r="B156" s="210" t="str">
        <f>Rooiebal2!A14</f>
        <v>Konings Kamiel [NS 20]</v>
      </c>
      <c r="C156" s="32">
        <f>IF(Rooiebal2!AL14=0," ",SUM(E156:AD156))</f>
        <v>32.667000000000002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719.49400000000014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8</v>
      </c>
      <c r="B161" s="28" t="str">
        <f>Putte!A4</f>
        <v xml:space="preserve">Anthonissen Paul </v>
      </c>
      <c r="C161" s="32">
        <f>IF(Putte!AL4=0," ",SUM(E161:AD161))</f>
        <v>89.474000000000004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6</v>
      </c>
      <c r="B162" s="81" t="str">
        <f>Putte!A5</f>
        <v>De Beukelaer Freddy</v>
      </c>
      <c r="C162" s="32">
        <f>IF(Putte!AL5=0," ",SUM(E162:AD162))</f>
        <v>52.5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9</v>
      </c>
      <c r="B163" s="81" t="str">
        <f>Putte!A6</f>
        <v>Evers Henri</v>
      </c>
      <c r="C163" s="32">
        <f>IF(Putte!AL6=0," ",SUM(E163:AD163))</f>
        <v>72.667000000000002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10</v>
      </c>
      <c r="B164" s="28" t="str">
        <f>Putte!A7</f>
        <v xml:space="preserve">Palinckx Fons </v>
      </c>
      <c r="C164" s="32">
        <f>IF(Putte!AL7=0," ",SUM(E164:AD164))</f>
        <v>93.417999999999992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10</v>
      </c>
      <c r="B166" s="28" t="str">
        <f>Putte!A9</f>
        <v xml:space="preserve">Plompen Dirk </v>
      </c>
      <c r="C166" s="32">
        <f>IF(Putte!AL9=0," ",SUM(E166:AD166))</f>
        <v>123.51499999999999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6</v>
      </c>
      <c r="B167" s="28" t="str">
        <f>Putte!A10</f>
        <v xml:space="preserve">Schaeken Pierre </v>
      </c>
      <c r="C167" s="32">
        <f>IF(Putte!AL10=0," ",SUM(E167:AD167))</f>
        <v>73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7</v>
      </c>
      <c r="B170" s="28" t="str">
        <f>Putte!A13</f>
        <v>Verelst Gilbert</v>
      </c>
      <c r="C170" s="32">
        <f>IF(Putte!AL13=0," ",SUM(E170:AD170))</f>
        <v>81.25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4</v>
      </c>
      <c r="B171" s="28" t="str">
        <f>Putte!A14</f>
        <v>Wolfcarius Jaques</v>
      </c>
      <c r="C171" s="32">
        <f>IF(Putte!AL14=0," ",SUM(E171:AD171))</f>
        <v>41.363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6</v>
      </c>
      <c r="B172" s="28" t="str">
        <f>Putte!A15</f>
        <v xml:space="preserve">Eyckmans Luc   </v>
      </c>
      <c r="C172" s="32">
        <f>IF(Putte!AL15=0," ",SUM(E172:AD172))</f>
        <v>58.695999999999998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5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>
        <f t="shared" si="135"/>
        <v>71.329000000000008</v>
      </c>
      <c r="N173" s="36">
        <f t="shared" si="135"/>
        <v>59.75</v>
      </c>
      <c r="O173" s="36">
        <f t="shared" si="135"/>
        <v>60.125</v>
      </c>
      <c r="P173" s="36">
        <f t="shared" si="135"/>
        <v>65.843999999999994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760.428</v>
      </c>
      <c r="D174" s="223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>
        <f t="shared" si="136"/>
        <v>574.70900000000006</v>
      </c>
      <c r="N174" s="40">
        <f t="shared" si="136"/>
        <v>634.45900000000006</v>
      </c>
      <c r="O174" s="40">
        <f t="shared" si="136"/>
        <v>694.58400000000006</v>
      </c>
      <c r="P174" s="40">
        <f t="shared" si="136"/>
        <v>760.42800000000011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4</v>
      </c>
      <c r="B177" s="28" t="str">
        <f>Wildert1!A4</f>
        <v>Adriaansen Jan</v>
      </c>
      <c r="C177" s="32">
        <f>IF(Wildert1!AL4=0," ",SUM(E177:AD177))</f>
        <v>30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>
        <f>IF(Wildert1!M4=(""),(""),ROUND(Wildert1!M4/Wildert1!$B4*10,3))</f>
        <v>8.8239999999999998</v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6</v>
      </c>
      <c r="B178" s="28" t="str">
        <f>Wildert1!A5</f>
        <v>Brouwers Adri</v>
      </c>
      <c r="C178" s="32">
        <f>IF(Wildert1!AL5=0," ",SUM(E178:AD178))</f>
        <v>56.052999999999997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>
        <f>IF(Wildert1!K5=(""),(""),ROUND(Wildert1!K5/Wildert1!$B5*10,3))</f>
        <v>8.1579999999999995</v>
      </c>
      <c r="N178" s="36">
        <f>IF(Wildert1!L5=(""),(""),ROUND(Wildert1!L5/Wildert1!$B5*10,3))</f>
        <v>7.6319999999999997</v>
      </c>
      <c r="O178" s="36">
        <f>IF(Wildert1!M5=(""),(""),ROUND(Wildert1!M5/Wildert1!$B5*10,3))</f>
        <v>7.3680000000000003</v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8</v>
      </c>
      <c r="B179" s="38" t="str">
        <f>Wildert1!A6</f>
        <v>Buijk Jan  [NS 55]</v>
      </c>
      <c r="C179" s="32">
        <f>IF(Wildert1!AL6=0," ",SUM(E179:AD179))</f>
        <v>86.677000000000007</v>
      </c>
      <c r="E179" s="265">
        <f>IF(Wildert1!C6=(""),(""),ROUND(Wildert1!C6/55*10,3))</f>
        <v>10.727</v>
      </c>
      <c r="F179" s="265">
        <f>IF(Wildert1!D6=(""),(""),ROUND(Wildert1!D6/55*10,3))</f>
        <v>8.5449999999999999</v>
      </c>
      <c r="G179" s="265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>
        <f>IF(Wildert1!L6=(""),(""),ROUND(Wildert1!L6/Wildert1!$B6*10,3))</f>
        <v>12.593</v>
      </c>
      <c r="O179" s="36" t="str">
        <f>IF(Wildert1!M6=(""),(""),ROUND(Wildert1!M6/Wildert1!$B6*10,3))</f>
        <v/>
      </c>
      <c r="P179" s="36">
        <f>IF(Wildert1!N6=(""),(""),ROUND(Wildert1!N6/Wildert1!$B6*10,3))</f>
        <v>7.0369999999999999</v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4</v>
      </c>
      <c r="B180" s="81" t="str">
        <f>Wildert1!A7</f>
        <v>Denissens Frans</v>
      </c>
      <c r="C180" s="32">
        <f>IF(Wildert1!AL7=0," ",SUM(E180:AD180))</f>
        <v>36.001000000000005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>
        <f>IF(Wildert1!K7=(""),(""),ROUND(Wildert1!K7/Wildert1!$B7*10,3))</f>
        <v>6.6669999999999998</v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7</v>
      </c>
      <c r="B181" s="80" t="str">
        <f>Wildert1!A8</f>
        <v>Dries Louis</v>
      </c>
      <c r="C181" s="32">
        <f>IF(Wildert1!AL8=0," ",SUM(E181:AD181))</f>
        <v>69.37700000000001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>
        <f>IF(Wildert1!K8=(""),(""),ROUND(Wildert1!K8/Wildert1!$B8*10,3))</f>
        <v>7.1879999999999997</v>
      </c>
      <c r="N181" s="36" t="str">
        <f>IF(Wildert1!L8=(""),(""),ROUND(Wildert1!L8/Wildert1!$B8*10,3))</f>
        <v/>
      </c>
      <c r="O181" s="36">
        <f>IF(Wildert1!M8=(""),(""),ROUND(Wildert1!M8/Wildert1!$B8*10,3))</f>
        <v>6.25</v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4</v>
      </c>
      <c r="B182" s="28" t="str">
        <f>Wildert1!A9</f>
        <v>Kerstens Marc</v>
      </c>
      <c r="C182" s="32">
        <f>IF(Wildert1!AL9=0," ",SUM(E182:AD182))</f>
        <v>53.158000000000001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>
        <f>IF(Wildert1!L9=(""),(""),ROUND(Wildert1!L9/Wildert1!$B9*10,3))</f>
        <v>16.841999999999999</v>
      </c>
      <c r="O182" s="36" t="str">
        <f>IF(Wildert1!M9=(""),(""),ROUND(Wildert1!M9/Wildert1!$B9*10,3))</f>
        <v/>
      </c>
      <c r="P182" s="36">
        <f>IF(Wildert1!N9=(""),(""),ROUND(Wildert1!N9/Wildert1!$B9*10,3))</f>
        <v>11.053000000000001</v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3</v>
      </c>
      <c r="B183" s="28" t="str">
        <f>Wildert1!A10</f>
        <v>Kerstens Ronald</v>
      </c>
      <c r="C183" s="32">
        <f>IF(Wildert1!AL10=0," ",SUM(E183:AD183))</f>
        <v>32.381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>
        <f>IF(Wildert1!N10=(""),(""),ROUND(Wildert1!N10/Wildert1!$B10*10,3))</f>
        <v>13.81</v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5</v>
      </c>
      <c r="B184" s="28" t="str">
        <f>Wildert1!A11</f>
        <v xml:space="preserve">Konings Guido </v>
      </c>
      <c r="C184" s="32">
        <f>IF(Wildert1!AL11=0," ",SUM(E184:AD184))</f>
        <v>68.334000000000003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>
        <f>IF(Wildert1!K11=(""),(""),ROUND(Wildert1!K11/Wildert1!$B11*10,3))</f>
        <v>14.167</v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7</v>
      </c>
      <c r="B185" s="28" t="str">
        <f>Wildert1!A12</f>
        <v xml:space="preserve">Kustermans Toon </v>
      </c>
      <c r="C185" s="32">
        <f>IF(Wildert1!AL12=0," ",SUM(E185:AD185))</f>
        <v>64.209999999999994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>
        <f>IF(Wildert1!L12=(""),(""),ROUND(Wildert1!L12/Wildert1!$B12*10,3))</f>
        <v>7.6319999999999997</v>
      </c>
      <c r="O185" s="36" t="str">
        <f>IF(Wildert1!M12=(""),(""),ROUND(Wildert1!M12/Wildert1!$B12*10,3))</f>
        <v/>
      </c>
      <c r="P185" s="36">
        <f>IF(Wildert1!N12=(""),(""),ROUND(Wildert1!N12/Wildert1!$B12*10,3))</f>
        <v>8.9469999999999992</v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6</v>
      </c>
      <c r="B186" s="28" t="str">
        <f>Wildert1!A13</f>
        <v xml:space="preserve">Sarra-Ribo Jef      </v>
      </c>
      <c r="C186" s="32">
        <f>IF(Wildert1!AL13=0," ",SUM(E186:AD186))</f>
        <v>59.204000000000001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>
        <f>IF(Wildert1!K13=(""),(""),ROUND(Wildert1!K13/Wildert1!$B13*10,3))</f>
        <v>6.3639999999999999</v>
      </c>
      <c r="N186" s="36">
        <f>IF(Wildert1!L13=(""),(""),ROUND(Wildert1!L13/Wildert1!$B13*10,3))</f>
        <v>9.2050000000000001</v>
      </c>
      <c r="O186" s="36">
        <f>IF(Wildert1!M13=(""),(""),ROUND(Wildert1!M13/Wildert1!$B13*10,3))</f>
        <v>7.3860000000000001</v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6</v>
      </c>
      <c r="B187" s="28" t="str">
        <f>Wildert1!A14</f>
        <v>Sas Ronny</v>
      </c>
      <c r="C187" s="32">
        <f>IF(Wildert1!AL14=0," ",SUM(E187:AD187))</f>
        <v>55.332999999999998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>
        <f>IF(Wildert1!L14=(""),(""),ROUND(Wildert1!L14/Wildert1!$B14*10,3))</f>
        <v>12.667</v>
      </c>
      <c r="O187" s="36">
        <f>IF(Wildert1!M14=(""),(""),ROUND(Wildert1!M14/Wildert1!$B14*10,3))</f>
        <v>6.6669999999999998</v>
      </c>
      <c r="P187" s="36">
        <f>IF(Wildert1!N14=(""),(""),ROUND(Wildert1!N14/Wildert1!$B14*10,3))</f>
        <v>5.3330000000000002</v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8</v>
      </c>
      <c r="B188" s="28" t="str">
        <f>Wildert1!A15</f>
        <v>Thijs Jef</v>
      </c>
      <c r="C188" s="32">
        <f>IF(Wildert1!AL15=0," ",SUM(E188:AD188))</f>
        <v>79.048000000000002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>
        <f>IF(Wildert1!K15=(""),(""),ROUND(Wildert1!K15/Wildert1!$B15*10,3))</f>
        <v>7.1429999999999998</v>
      </c>
      <c r="N188" s="36" t="str">
        <f>IF(Wildert1!L15=(""),(""),ROUND(Wildert1!L15/Wildert1!$B15*10,3))</f>
        <v/>
      </c>
      <c r="O188" s="36">
        <f>IF(Wildert1!M15=(""),(""),ROUND(Wildert1!M15/Wildert1!$B15*10,3))</f>
        <v>5.7140000000000004</v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4</v>
      </c>
      <c r="B189" s="38" t="str">
        <f>Wildert1!A16</f>
        <v xml:space="preserve">Wetzer Rik [NS 20] </v>
      </c>
      <c r="C189" s="32">
        <f>IF(Wildert1!AL16=0," ",SUM(E189:AD189))</f>
        <v>27.667000000000002</v>
      </c>
      <c r="E189" s="36" t="str">
        <f>IF(Wildert1!C16=(""),(""),ROUND(Wildert1!C16/Wildert1!$B16*10,3))</f>
        <v/>
      </c>
      <c r="F189" s="265">
        <f>IF(Wildert1!D16=(""),(""),ROUND(Wildert1!D16/20*10,3))</f>
        <v>4</v>
      </c>
      <c r="G189" s="36" t="str">
        <f>IF(Wildert1!E16=(""),(""),ROUND(Wildert1!E16/Wildert1!$B16*10,3))</f>
        <v/>
      </c>
      <c r="H189" s="265">
        <f>IF(Wildert1!F16=(""),(""),ROUND(Wildert1!F16/20*10,3))</f>
        <v>8.5</v>
      </c>
      <c r="I189" s="36" t="str">
        <f>IF(Wildert1!G16=(""),(""),ROUND(Wildert1!G16/Wildert1!$B16*10,3))</f>
        <v/>
      </c>
      <c r="J189" s="265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>
        <f>IF(Wildert1!N16=(""),(""),ROUND(Wildert1!N16/Wildert1!$B16*10,3))</f>
        <v>10.667</v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6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>
        <f t="shared" si="139"/>
        <v>49.686999999999998</v>
      </c>
      <c r="N190" s="36">
        <f t="shared" si="139"/>
        <v>66.570999999999998</v>
      </c>
      <c r="O190" s="36">
        <f t="shared" si="139"/>
        <v>42.208999999999996</v>
      </c>
      <c r="P190" s="36">
        <f t="shared" si="139"/>
        <v>56.846999999999994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717.44299999999998</v>
      </c>
      <c r="D191" s="223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>
        <f t="shared" si="140"/>
        <v>551.81599999999992</v>
      </c>
      <c r="N191" s="40">
        <f>IF(N190=(" "),(" "),M191+N190)</f>
        <v>618.38699999999994</v>
      </c>
      <c r="O191" s="40">
        <f t="shared" si="140"/>
        <v>660.59599999999989</v>
      </c>
      <c r="P191" s="40">
        <f t="shared" si="140"/>
        <v>717.44299999999987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2</v>
      </c>
      <c r="B194" s="28" t="str">
        <f>Wildert2!A4</f>
        <v xml:space="preserve">Aernouts Johan  </v>
      </c>
      <c r="C194" s="32">
        <f>IF(Wildert2!AL4=0," ",SUM(E194:AD194))</f>
        <v>23.256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>
        <f>IF(Wildert2!N4=(""),(""),ROUND(Wildert2!N4/Wildert2!$B4*10,3))</f>
        <v>14.419</v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11</v>
      </c>
      <c r="B195" s="81" t="str">
        <f>Wildert2!A5</f>
        <v>Eestermans René</v>
      </c>
      <c r="C195" s="32">
        <f>IF(Wildert2!AL5=0," ",SUM(E195:AD195))</f>
        <v>116.428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69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68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>
        <f>IF(Wildert2!K5=(""),(""),ROUND(Wildert2!K5/Wildert2!$B5*10,3))</f>
        <v>14.643000000000001</v>
      </c>
      <c r="N195" s="36">
        <f>IF(Wildert2!L5=(""),(""),ROUND(Wildert2!L5/Wildert2!$B5*10,3))</f>
        <v>8.5709999999999997</v>
      </c>
      <c r="O195" s="36">
        <f>IF(Wildert2!M5=(""),(""),ROUND(Wildert2!M5/Wildert2!$B5*10,3))</f>
        <v>12.143000000000001</v>
      </c>
      <c r="P195" s="36">
        <f>IF(Wildert2!N5=(""),(""),ROUND(Wildert2!N5/Wildert2!$B5*10,3))</f>
        <v>6.7859999999999996</v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10</v>
      </c>
      <c r="B196" s="28" t="str">
        <f>Wildert2!A6</f>
        <v xml:space="preserve">Eijckholt Adrie              </v>
      </c>
      <c r="C196" s="32">
        <f>IF(Wildert2!AL6=0," ",SUM(E196:AD196))</f>
        <v>91.905999999999992</v>
      </c>
      <c r="E196" s="36">
        <f>IF(Wildert2!C6=(""),(""),ROUND(Wildert2!C6/Wildert2!$B6*10,3))</f>
        <v>9.048</v>
      </c>
      <c r="F196" s="269">
        <f>IF(Wildert2!D6=(""),(""),ROUND(Wildert2!D6/Wildert2!$B6*10,3))</f>
        <v>11.667</v>
      </c>
      <c r="G196" s="269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68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>
        <f>IF(Wildert2!L6=(""),(""),ROUND(Wildert2!L6/Wildert2!$B6*10,3))</f>
        <v>8.81</v>
      </c>
      <c r="O196" s="36">
        <f>IF(Wildert2!M6=(""),(""),ROUND(Wildert2!M6/Wildert2!$B6*10,3))</f>
        <v>10.238</v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11</v>
      </c>
      <c r="B197" s="81" t="str">
        <f>Wildert2!A7</f>
        <v xml:space="preserve">Francken Robert </v>
      </c>
      <c r="C197" s="93">
        <f>IF(Wildert2!AL7=0," ",SUM(E197:AD197))</f>
        <v>135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68">
        <f>IF(Wildert2!H7=(""),(""),ROUND(Wildert2!H7/Wildert2!$B7*10,3))</f>
        <v>16.25</v>
      </c>
      <c r="K197" s="268">
        <f>IF(Wildert2!I7=(""),(""),ROUND(Wildert2!I7/Wildert2!$B7*10,3))</f>
        <v>13</v>
      </c>
      <c r="L197" s="36">
        <f>IF(Wildert2!J7=(""),(""),ROUND(Wildert2!J7/Wildert2!$B7*10,3))</f>
        <v>10</v>
      </c>
      <c r="M197" s="36">
        <f>IF(Wildert2!K7=(""),(""),ROUND(Wildert2!K7/Wildert2!$B7*10,3))</f>
        <v>10</v>
      </c>
      <c r="N197" s="36">
        <f>IF(Wildert2!L7=(""),(""),ROUND(Wildert2!L7/Wildert2!$B7*10,3))</f>
        <v>13.25</v>
      </c>
      <c r="O197" s="36">
        <f>IF(Wildert2!M7=(""),(""),ROUND(Wildert2!M7/Wildert2!$B7*10,3))</f>
        <v>10.75</v>
      </c>
      <c r="P197" s="36">
        <f>IF(Wildert2!N7=(""),(""),ROUND(Wildert2!N7/Wildert2!$B7*10,3))</f>
        <v>16.75</v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4</v>
      </c>
      <c r="B198" s="81" t="str">
        <f>Wildert2!A8</f>
        <v xml:space="preserve">Leys Herman </v>
      </c>
      <c r="C198" s="32">
        <f>IF(Wildert2!AL8=0," ",SUM(E198:AD198))</f>
        <v>50.313000000000002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>
        <f>IF(Wildert2!K8=(""),(""),ROUND(Wildert2!K8/Wildert2!$B8*10,3))</f>
        <v>16.562999999999999</v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5</v>
      </c>
      <c r="B200" s="210" t="str">
        <f>Wildert2!A10</f>
        <v>Peeters Hugo [NS 36]</v>
      </c>
      <c r="C200" s="32">
        <f>IF(Wildert2!AL10=0," ",SUM(E200:AD200))</f>
        <v>51.60199999999999</v>
      </c>
      <c r="E200" s="265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265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265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>
        <f>IF(Wildert2!L10=(""),(""),ROUND(Wildert2!L10/Wildert2!$B10*10,3))</f>
        <v>4.6509999999999998</v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8</v>
      </c>
      <c r="B201" s="38" t="str">
        <f>Wildert2!A11</f>
        <v xml:space="preserve">Scholtis Vic  [NS 49] </v>
      </c>
      <c r="C201" s="32">
        <f>IF(Wildert2!AL11=0," ",SUM(E201:AD201))</f>
        <v>88.287000000000006</v>
      </c>
      <c r="E201" s="36" t="str">
        <f>IF(Wildert2!C11=(""),(""),ROUND(Wildert2!C11/Wildert2!$B11*10,3))</f>
        <v/>
      </c>
      <c r="F201" s="265">
        <f>IF(Wildert2!D11=(""),(""),ROUND(Wildert2!D11/49*10,3))</f>
        <v>4.8979999999999997</v>
      </c>
      <c r="G201" s="36" t="str">
        <f>IF(Wildert2!E11=(""),(""),ROUND(Wildert2!E11/Wildert2!$B11*10,3))</f>
        <v/>
      </c>
      <c r="H201" s="265">
        <f>IF(Wildert2!F11=(""),(""),ROUND(Wildert2!F11/49*10,3))</f>
        <v>10</v>
      </c>
      <c r="I201" s="265">
        <f>IF(Wildert2!G11=(""),(""),ROUND(Wildert2!G11/49*10,3))</f>
        <v>6.5309999999999997</v>
      </c>
      <c r="J201" s="268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>
        <f>IF(Wildert2!K11=(""),(""),ROUND(Wildert2!K11/Wildert2!$B11*10,3))</f>
        <v>11.429</v>
      </c>
      <c r="N201" s="36">
        <f>IF(Wildert2!L11=(""),(""),ROUND(Wildert2!L11/Wildert2!$B11*10,3))</f>
        <v>6.8570000000000002</v>
      </c>
      <c r="O201" s="36" t="str">
        <f>IF(Wildert2!M11=(""),(""),ROUND(Wildert2!M11/Wildert2!$B11*10,3))</f>
        <v/>
      </c>
      <c r="P201" s="36">
        <f>IF(Wildert2!N11=(""),(""),ROUND(Wildert2!N11/Wildert2!$B11*10,3))</f>
        <v>17.713999999999999</v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2</v>
      </c>
      <c r="B202" s="80" t="str">
        <f>Wildert2!A12</f>
        <v>Van Den Bergh Jacky</v>
      </c>
      <c r="C202" s="32">
        <f>IF(Wildert2!AL12=0," ",SUM(E202:AD202))</f>
        <v>30.55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>
        <f>IF(Wildert2!M12=(""),(""),ROUND(Wildert2!M12/Wildert2!$B12*10,3))</f>
        <v>17.431000000000001</v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9</v>
      </c>
      <c r="B203" s="28" t="str">
        <f>Wildert2!A13</f>
        <v xml:space="preserve">Van Ginneken Ludo </v>
      </c>
      <c r="C203" s="32">
        <f>IF(Wildert2!AL13=0," ",SUM(E203:AD203))</f>
        <v>98.444000000000003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69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68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>
        <f>IF(Wildert2!K13=(""),(""),ROUND(Wildert2!K13/Wildert2!$B13*10,3))</f>
        <v>11.778</v>
      </c>
      <c r="N203" s="36">
        <f>IF(Wildert2!L13=(""),(""),ROUND(Wildert2!L13/Wildert2!$B13*10,3))</f>
        <v>6.444</v>
      </c>
      <c r="O203" s="36">
        <f>IF(Wildert2!M13=(""),(""),ROUND(Wildert2!M13/Wildert2!$B13*10,3))</f>
        <v>8.6669999999999998</v>
      </c>
      <c r="P203" s="36">
        <f>IF(Wildert2!N13=(""),(""),ROUND(Wildert2!N13/Wildert2!$B13*10,3))</f>
        <v>9.3330000000000002</v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7</v>
      </c>
      <c r="B204" s="28" t="str">
        <f>Wildert2!A14</f>
        <v>Van Hooydonck Swa</v>
      </c>
      <c r="C204" s="32">
        <f>IF(Wildert2!AL14=0," ",SUM(E204:AD204))</f>
        <v>61.713999999999999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69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>
        <f>IF(Wildert2!K14=(""),(""),ROUND(Wildert2!K14/Wildert2!$B14*10,3))</f>
        <v>9.1430000000000007</v>
      </c>
      <c r="N204" s="36" t="str">
        <f>IF(Wildert2!L14=(""),(""),ROUND(Wildert2!L14/Wildert2!$B14*10,3))</f>
        <v/>
      </c>
      <c r="O204" s="36">
        <f>IF(Wildert2!M14=(""),(""),ROUND(Wildert2!M14/Wildert2!$B14*10,3))</f>
        <v>10</v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3</v>
      </c>
      <c r="B205" s="28" t="str">
        <f>Wildert2!A15</f>
        <v>Wiericx Herman</v>
      </c>
      <c r="C205" s="32">
        <f>IF(Wildert2!AL15=0," ",SUM(E205:AD205))</f>
        <v>35.200000000000003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69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>
        <f>IF(Wildert2!N15=(""),(""),ROUND(Wildert2!N15/Wildert2!$B15*10,3))</f>
        <v>10.4</v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6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>
        <f t="shared" si="143"/>
        <v>73.556000000000012</v>
      </c>
      <c r="N206" s="36">
        <f t="shared" si="143"/>
        <v>48.582999999999998</v>
      </c>
      <c r="O206" s="36">
        <f t="shared" si="143"/>
        <v>69.228999999999999</v>
      </c>
      <c r="P206" s="36">
        <f t="shared" si="143"/>
        <v>75.402000000000001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782.69999999999982</v>
      </c>
      <c r="D207" s="258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>
        <f t="shared" si="144"/>
        <v>589.4860000000001</v>
      </c>
      <c r="N207" s="40">
        <f t="shared" si="144"/>
        <v>638.06900000000007</v>
      </c>
      <c r="O207" s="40">
        <f t="shared" si="144"/>
        <v>707.29800000000012</v>
      </c>
      <c r="P207" s="40">
        <f t="shared" si="144"/>
        <v>782.70000000000016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296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7</v>
      </c>
      <c r="B210" s="28" t="str">
        <f>DeBeek!A4</f>
        <v xml:space="preserve">Bergmans Armand </v>
      </c>
      <c r="C210" s="32">
        <f>IF(DeBeek!AL4=0," ",SUM(E210:AD210))</f>
        <v>69.31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>
        <f>IF(DeBeek!K4=(""),(""),ROUND(DeBeek!K4/DeBeek!$B4*10,3))</f>
        <v>12.759</v>
      </c>
      <c r="N210" s="36" t="str">
        <f>IF(DeBeek!L4=(""),(""),ROUND(DeBeek!L4/DeBeek!$B4*10,3))</f>
        <v/>
      </c>
      <c r="O210" s="36">
        <f>IF(DeBeek!M4=(""),(""),ROUND(DeBeek!M4/DeBeek!$B4*10,3))</f>
        <v>11.034000000000001</v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6</v>
      </c>
      <c r="B211" s="80" t="str">
        <f>DeBeek!A5</f>
        <v>Beyers Armand</v>
      </c>
      <c r="C211" s="32">
        <f>IF(DeBeek!AL5=0," ",SUM(E211:AD211))</f>
        <v>75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>
        <f>IF(DeBeek!M5=(""),(""),ROUND(DeBeek!M5/DeBeek!$B5*10,3))</f>
        <v>8.6110000000000007</v>
      </c>
      <c r="P211" s="36">
        <f>IF(DeBeek!N5=(""),(""),ROUND(DeBeek!N5/DeBeek!$B5*10,3))</f>
        <v>15</v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8</v>
      </c>
      <c r="B212" s="81" t="str">
        <f>DeBeek!A6</f>
        <v xml:space="preserve">Beyers Roger </v>
      </c>
      <c r="C212" s="32">
        <f>IF(DeBeek!AL6=0," ",SUM(E212:AD212))</f>
        <v>68.912999999999997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>
        <f>IF(DeBeek!K6=(""),(""),ROUND(DeBeek!K6/DeBeek!$B6*10,3))</f>
        <v>6.7389999999999999</v>
      </c>
      <c r="N212" s="36">
        <f>IF(DeBeek!L6=(""),(""),ROUND(DeBeek!L6/DeBeek!$B6*10,3))</f>
        <v>7.609</v>
      </c>
      <c r="O212" s="36">
        <f>IF(DeBeek!M6=(""),(""),ROUND(DeBeek!M6/DeBeek!$B6*10,3))</f>
        <v>11.304</v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6</v>
      </c>
      <c r="B213" s="28" t="str">
        <f>DeBeek!A7</f>
        <v xml:space="preserve">Binnemans Rene </v>
      </c>
      <c r="C213" s="32">
        <f>IF(DeBeek!AL7=0," ",SUM(E213:AD213))</f>
        <v>62.423999999999999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>
        <f>IF(DeBeek!K7=(""),(""),ROUND(DeBeek!K7/DeBeek!$B7*10,3))</f>
        <v>7.8789999999999996</v>
      </c>
      <c r="N213" s="36">
        <f>IF(DeBeek!L7=(""),(""),ROUND(DeBeek!L7/DeBeek!$B7*10,3))</f>
        <v>10.606</v>
      </c>
      <c r="O213" s="36" t="str">
        <f>IF(DeBeek!M7=(""),(""),ROUND(DeBeek!M7/DeBeek!$B7*10,3))</f>
        <v/>
      </c>
      <c r="P213" s="36">
        <f>IF(DeBeek!N7=(""),(""),ROUND(DeBeek!N7/DeBeek!$B7*10,3))</f>
        <v>13.333</v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8</v>
      </c>
      <c r="B214" s="81" t="str">
        <f>DeBeek!A8</f>
        <v>De Crom Ludo</v>
      </c>
      <c r="C214" s="32">
        <f>IF(DeBeek!AL8=0," ",SUM(E214:AD214))</f>
        <v>63.334000000000003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>
        <f>IF(DeBeek!K8=(""),(""),ROUND(DeBeek!K8/DeBeek!$B8*10,3))</f>
        <v>2.5</v>
      </c>
      <c r="N214" s="36">
        <f>IF(DeBeek!L8=(""),(""),ROUND(DeBeek!L8/DeBeek!$B8*10,3))</f>
        <v>5</v>
      </c>
      <c r="O214" s="36">
        <f>IF(DeBeek!M8=(""),(""),ROUND(DeBeek!M8/DeBeek!$B8*10,3))</f>
        <v>17.082999999999998</v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8</v>
      </c>
      <c r="B215" s="176" t="str">
        <f>DeBeek!A9</f>
        <v>Geysen Louis</v>
      </c>
      <c r="C215" s="32">
        <f>IF(DeBeek!AL9=0," ",SUM(E215:AD215))</f>
        <v>74.349000000000004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>
        <f>IF(DeBeek!L9=(""),(""),ROUND(DeBeek!L9/DeBeek!$B9*10,3))</f>
        <v>6.5220000000000002</v>
      </c>
      <c r="O215" s="36" t="str">
        <f>IF(DeBeek!M9=(""),(""),ROUND(DeBeek!M9/DeBeek!$B9*10,3))</f>
        <v/>
      </c>
      <c r="P215" s="36">
        <f>IF(DeBeek!N9=(""),(""),ROUND(DeBeek!N9/DeBeek!$B9*10,3))</f>
        <v>10</v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8</v>
      </c>
      <c r="B216" s="81" t="str">
        <f>DeBeek!A10</f>
        <v xml:space="preserve">Heyndrickx Alfons   </v>
      </c>
      <c r="C216" s="32">
        <f>IF(DeBeek!AL10=0," ",SUM(E216:AD216))</f>
        <v>94.230999999999995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>
        <f>IF(DeBeek!L10=(""),(""),ROUND(DeBeek!L10/DeBeek!$B10*10,3))</f>
        <v>18.077000000000002</v>
      </c>
      <c r="O216" s="36" t="str">
        <f>IF(DeBeek!M10=(""),(""),ROUND(DeBeek!M10/DeBeek!$B10*10,3))</f>
        <v/>
      </c>
      <c r="P216" s="36">
        <f>IF(DeBeek!N10=(""),(""),ROUND(DeBeek!N10/DeBeek!$B10*10,3))</f>
        <v>11.538</v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6</v>
      </c>
      <c r="B217" s="28" t="str">
        <f>DeBeek!A11</f>
        <v xml:space="preserve">Van Looveren Dirk </v>
      </c>
      <c r="C217" s="32">
        <f>IF(DeBeek!AL11=0," ",SUM(E217:AD217))</f>
        <v>48.863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>
        <f>IF(DeBeek!K11=(""),(""),ROUND(DeBeek!K11/DeBeek!$B11*10,3))</f>
        <v>13.635999999999999</v>
      </c>
      <c r="N217" s="36">
        <f>IF(DeBeek!L11=(""),(""),ROUND(DeBeek!L11/DeBeek!$B11*10,3))</f>
        <v>7.0449999999999999</v>
      </c>
      <c r="O217" s="36">
        <f>IF(DeBeek!M11=(""),(""),ROUND(DeBeek!M11/DeBeek!$B11*10,3))</f>
        <v>8.1820000000000004</v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9</v>
      </c>
      <c r="B218" s="28" t="str">
        <f>DeBeek!A12</f>
        <v>Van Wesenbeeck Marcel</v>
      </c>
      <c r="C218" s="32">
        <f>IF(DeBeek!AL12=0," ",SUM(E218:AD218))</f>
        <v>87.498999999999995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>
        <f>IF(DeBeek!K12=(""),(""),ROUND(DeBeek!K12/DeBeek!$B12*10,3))</f>
        <v>11.071</v>
      </c>
      <c r="N218" s="36" t="str">
        <f>IF(DeBeek!L12=(""),(""),ROUND(DeBeek!L12/DeBeek!$B12*10,3))</f>
        <v/>
      </c>
      <c r="O218" s="36">
        <f>IF(DeBeek!M12=(""),(""),ROUND(DeBeek!M12/DeBeek!$B12*10,3))</f>
        <v>9.2859999999999996</v>
      </c>
      <c r="P218" s="36">
        <f>IF(DeBeek!N12=(""),(""),ROUND(DeBeek!N12/DeBeek!$B12*10,3))</f>
        <v>13.214</v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6</v>
      </c>
      <c r="B219" s="28" t="str">
        <f>DeBeek!A13</f>
        <v xml:space="preserve">Verhulst Adri     </v>
      </c>
      <c r="C219" s="32">
        <f>IF(DeBeek!AL13=0," ",SUM(E219:AD219))</f>
        <v>57.942000000000007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>
        <f>IF(DeBeek!N13=(""),(""),ROUND(DeBeek!N13/DeBeek!$B13*10,3))</f>
        <v>11.471</v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6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>
        <f t="shared" si="146"/>
        <v>54.584000000000003</v>
      </c>
      <c r="N221" s="36">
        <f t="shared" si="146"/>
        <v>54.859000000000009</v>
      </c>
      <c r="O221" s="36">
        <f t="shared" si="146"/>
        <v>65.5</v>
      </c>
      <c r="P221" s="36">
        <f t="shared" si="146"/>
        <v>74.555999999999997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701.86500000000001</v>
      </c>
      <c r="D222" s="223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>
        <f t="shared" si="147"/>
        <v>506.95</v>
      </c>
      <c r="N222" s="40">
        <f t="shared" si="147"/>
        <v>561.80899999999997</v>
      </c>
      <c r="O222" s="40">
        <f t="shared" si="147"/>
        <v>627.30899999999997</v>
      </c>
      <c r="P222" s="40">
        <f t="shared" si="147"/>
        <v>701.86500000000001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zoomScale="115" zoomScaleNormal="115" workbookViewId="0">
      <selection activeCell="F92" sqref="F92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7" t="s">
        <v>287</v>
      </c>
      <c r="B1" s="287"/>
      <c r="C1" s="287"/>
      <c r="D1" s="287"/>
      <c r="E1" s="213" t="s">
        <v>335</v>
      </c>
    </row>
    <row r="2" spans="1:5" ht="21" customHeight="1" x14ac:dyDescent="0.3">
      <c r="A2" s="288" t="s">
        <v>288</v>
      </c>
      <c r="B2" s="288"/>
      <c r="C2" s="288"/>
      <c r="D2" s="288"/>
      <c r="E2" s="220">
        <f>Rangschikking!E3</f>
        <v>46003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292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291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291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292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291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292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292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1">
        <v>45936</v>
      </c>
      <c r="B35" s="232" t="s">
        <v>13</v>
      </c>
      <c r="C35" s="230" t="s">
        <v>291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291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5">
        <v>45946</v>
      </c>
      <c r="B40" s="230" t="s">
        <v>16</v>
      </c>
      <c r="C40" s="230" t="s">
        <v>7</v>
      </c>
      <c r="D40" s="266">
        <f>VLOOKUP(B40,Punten!$C$3:$AD$222,7,0)</f>
        <v>58.264000000000003</v>
      </c>
      <c r="E40" s="266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292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5">
        <v>45958</v>
      </c>
      <c r="B43" s="230" t="s">
        <v>9</v>
      </c>
      <c r="C43" s="230" t="s">
        <v>10</v>
      </c>
      <c r="D43" s="266">
        <f>VLOOKUP(B43,Punten!$C$3:$AD$222,7,0)</f>
        <v>61.108000000000004</v>
      </c>
      <c r="E43" s="266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291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292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292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291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291</v>
      </c>
      <c r="C63" s="98" t="s">
        <v>292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VLOOKUP(B70,Punten!$C$3:$AD$222,11,0)</f>
        <v>58.667000000000002</v>
      </c>
      <c r="E70" s="104">
        <f>VLOOKUP(C70,Punten!$C$3:$AD$222,11,0)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VLOOKUP(B71,Punten!$C$3:$AD$222,11,0)</f>
        <v>76.480999999999995</v>
      </c>
      <c r="E71" s="104">
        <f>VLOOKUP(C71,Punten!$C$3:$AD$222,11,0)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VLOOKUP(B72,Punten!$C$3:$AD$222,11,0)</f>
        <v>67.745999999999995</v>
      </c>
      <c r="E72" s="104">
        <f>VLOOKUP(C72,Punten!$C$3:$AD$222,11,0)</f>
        <v>57.384</v>
      </c>
    </row>
    <row r="73" spans="1:6" ht="15" customHeight="1" x14ac:dyDescent="0.3">
      <c r="A73" s="117">
        <v>45974</v>
      </c>
      <c r="B73" s="121" t="s">
        <v>292</v>
      </c>
      <c r="C73" s="121" t="s">
        <v>11</v>
      </c>
      <c r="D73" s="104">
        <f>VLOOKUP(B73,Punten!$C$3:$AD$222,11,0)</f>
        <v>54.584000000000003</v>
      </c>
      <c r="E73" s="104">
        <f>VLOOKUP(C73,Punten!$C$3:$AD$222,11,0)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6">
        <f>VLOOKUP(B74,Punten!$C$3:$AD$222,11,0)</f>
        <v>67.024999999999991</v>
      </c>
      <c r="E74" s="266">
        <f>VLOOKUP(C74,Punten!$C$3:$AD$222,11,0)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291</v>
      </c>
      <c r="D75" s="104">
        <f>VLOOKUP(B75,Punten!$C$3:$AD$222,11,0)</f>
        <v>71.91</v>
      </c>
      <c r="E75" s="104">
        <f>VLOOKUP(C75,Punten!$C$3:$AD$222,11,0)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VLOOKUP(B76,Punten!$C$3:$AD$222,11,0)</f>
        <v>49.686999999999998</v>
      </c>
      <c r="E76" s="104">
        <f>VLOOKUP(C76,Punten!$C$3:$AD$222,11,0)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291</v>
      </c>
      <c r="C78" s="98" t="s">
        <v>8</v>
      </c>
      <c r="D78" s="104">
        <f>VLOOKUP(B78,Punten!$C$3:$AD$222,12,0)</f>
        <v>63.083999999999996</v>
      </c>
      <c r="E78" s="104">
        <f>VLOOKUP(C78,Punten!$C$3:$AD$222,12,0)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VLOOKUP(B79,Punten!$C$3:$AD$222,12,0)</f>
        <v>59.75</v>
      </c>
      <c r="E79" s="104">
        <f>VLOOKUP(C79,Punten!$C$3:$AD$222,12,0)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VLOOKUP(B80,Punten!$C$3:$AD$222,12,0)</f>
        <v>71.882000000000005</v>
      </c>
      <c r="E80" s="104">
        <f>VLOOKUP(C80,Punten!$C$3:$AD$222,12,0)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VLOOKUP(B81,Punten!$C$3:$AD$222,12,0)</f>
        <v>52.470999999999997</v>
      </c>
      <c r="E81" s="104">
        <f>VLOOKUP(C81,Punten!$C$3:$AD$222,12,0)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292</v>
      </c>
      <c r="D82" s="104">
        <f>VLOOKUP(B82,Punten!$C$3:$AD$222,12,0)</f>
        <v>53.038000000000004</v>
      </c>
      <c r="E82" s="104">
        <f>VLOOKUP(C82,Punten!$C$3:$AD$222,12,0)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VLOOKUP(B83,Punten!$C$3:$AD$222,12,0)</f>
        <v>62.913999999999994</v>
      </c>
      <c r="E83" s="104">
        <f>VLOOKUP(C83,Punten!$C$3:$AD$222,12,0)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VLOOKUP(B84,Punten!$C$3:$AD$222,12,0)</f>
        <v>52.161999999999999</v>
      </c>
      <c r="E84" s="104">
        <f>VLOOKUP(C84,Punten!$C$3:$AD$222,12,0)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291</v>
      </c>
      <c r="D86" s="104">
        <f>VLOOKUP(B86,Punten!$C$3:$AD$222,13,0)</f>
        <v>47.802</v>
      </c>
      <c r="E86" s="104">
        <f>VLOOKUP(C86,Punten!$C$3:$AD$222,13,0)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VLOOKUP(B87,Punten!$C$3:$AD$222,13,0)</f>
        <v>60.125</v>
      </c>
      <c r="E87" s="104">
        <f>VLOOKUP(C87,Punten!$C$3:$AD$222,13,0)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VLOOKUP(B88,Punten!$C$3:$AD$222,13,0)</f>
        <v>69.228999999999999</v>
      </c>
      <c r="E88" s="104">
        <f>VLOOKUP(C88,Punten!$C$3:$AD$222,13,0)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VLOOKUP(B89,Punten!$C$3:$AD$222,13,0)</f>
        <v>71.817000000000007</v>
      </c>
      <c r="E89" s="104">
        <f>VLOOKUP(C89,Punten!$C$3:$AD$222,13,0)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VLOOKUP(B90,Punten!$C$3:$AD$222,13,0)</f>
        <v>61.230999999999995</v>
      </c>
      <c r="E90" s="104">
        <f>VLOOKUP(C90,Punten!$C$3:$AD$222,13,0)</f>
        <v>68.407000000000011</v>
      </c>
    </row>
    <row r="91" spans="1:5" ht="15" customHeight="1" x14ac:dyDescent="0.3">
      <c r="A91" s="96">
        <v>45993</v>
      </c>
      <c r="B91" s="98" t="s">
        <v>292</v>
      </c>
      <c r="C91" s="98" t="s">
        <v>15</v>
      </c>
      <c r="D91" s="104">
        <f>VLOOKUP(B91,Punten!$C$3:$AD$222,13,0)</f>
        <v>65.5</v>
      </c>
      <c r="E91" s="104">
        <f>VLOOKUP(C91,Punten!$C$3:$AD$222,13,0)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VLOOKUP(B92,Punten!$C$3:$AD$222,13,0)</f>
        <v>42.208999999999996</v>
      </c>
      <c r="E92" s="104">
        <f>VLOOKUP(C92,Punten!$C$3:$AD$222,13,0)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VLOOKUP(B94,Punten!$C$3:$AD$222,14,0)</f>
        <v>61.689</v>
      </c>
      <c r="E94" s="104">
        <f>VLOOKUP(C94,Punten!$C$3:$AD$222,14,0)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VLOOKUP(B95,Punten!$C$3:$AD$222,14,0)</f>
        <v>59.680999999999997</v>
      </c>
      <c r="E95" s="104">
        <f>VLOOKUP(C95,Punten!$C$3:$AD$222,14,0)</f>
        <v>53.382999999999996</v>
      </c>
    </row>
    <row r="96" spans="1:5" ht="15" customHeight="1" x14ac:dyDescent="0.3">
      <c r="A96" s="96">
        <v>45999</v>
      </c>
      <c r="B96" s="98" t="s">
        <v>291</v>
      </c>
      <c r="C96" s="98" t="s">
        <v>16</v>
      </c>
      <c r="D96" s="104">
        <f>VLOOKUP(B96,Punten!$C$3:$AD$222,14,0)</f>
        <v>46.090999999999994</v>
      </c>
      <c r="E96" s="104">
        <f>VLOOKUP(C96,Punten!$C$3:$AD$222,14,0)</f>
        <v>43.292000000000002</v>
      </c>
    </row>
    <row r="97" spans="1:7" ht="15" customHeight="1" x14ac:dyDescent="0.3">
      <c r="A97" s="97">
        <v>46000</v>
      </c>
      <c r="B97" s="98" t="s">
        <v>292</v>
      </c>
      <c r="C97" s="98" t="s">
        <v>9</v>
      </c>
      <c r="D97" s="104">
        <f>VLOOKUP(B97,Punten!$C$3:$AD$222,14,0)</f>
        <v>74.555999999999997</v>
      </c>
      <c r="E97" s="104">
        <f>VLOOKUP(C97,Punten!$C$3:$AD$222,14,0)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VLOOKUP(B98,Punten!$C$3:$AD$222,14,0)</f>
        <v>54.676000000000002</v>
      </c>
      <c r="E98" s="104">
        <f>VLOOKUP(C98,Punten!$C$3:$AD$222,14,0)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VLOOKUP(B99,Punten!$C$3:$AD$222,14,0)</f>
        <v>53.646999999999998</v>
      </c>
      <c r="E99" s="104">
        <f>VLOOKUP(C99,Punten!$C$3:$AD$222,14,0)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VLOOKUP(B100,Punten!$C$3:$AD$222,14,0)</f>
        <v>56.548999999999999</v>
      </c>
      <c r="E100" s="104">
        <f>VLOOKUP(C100,Punten!$C$3:$AD$222,14,0)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170">
        <v>46006</v>
      </c>
      <c r="B104" s="171" t="s">
        <v>291</v>
      </c>
      <c r="C104" s="171" t="s">
        <v>12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8</v>
      </c>
      <c r="C106" s="98" t="s">
        <v>292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6"/>
      <c r="B109" s="280"/>
      <c r="C109" s="169"/>
      <c r="E109" s="62"/>
      <c r="F109" s="62"/>
      <c r="G109" s="62"/>
    </row>
    <row r="110" spans="1:7" ht="22.2" customHeight="1" x14ac:dyDescent="0.3">
      <c r="A110" s="290" t="s">
        <v>287</v>
      </c>
      <c r="B110" s="290"/>
      <c r="C110" s="290"/>
      <c r="D110" s="290"/>
      <c r="E110" s="108"/>
    </row>
    <row r="111" spans="1:7" ht="15" customHeight="1" x14ac:dyDescent="0.3">
      <c r="A111" s="289" t="s">
        <v>288</v>
      </c>
      <c r="B111" s="289"/>
      <c r="C111" s="289"/>
      <c r="D111" s="289"/>
      <c r="E111" s="109" t="s">
        <v>289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291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292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291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292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291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292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170">
        <v>46048</v>
      </c>
      <c r="B141" s="171" t="s">
        <v>12</v>
      </c>
      <c r="C141" s="171" t="s">
        <v>291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292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291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292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292</v>
      </c>
      <c r="C156" s="98" t="s">
        <v>291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292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291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292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291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291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292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291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292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291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292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291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292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292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291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6" t="s">
        <v>320</v>
      </c>
      <c r="B218" s="280"/>
      <c r="C218" s="169" t="s">
        <v>347</v>
      </c>
      <c r="E218" s="62"/>
      <c r="F218" s="62"/>
      <c r="G218" s="62"/>
    </row>
    <row r="219" spans="1:7" x14ac:dyDescent="0.3">
      <c r="A219" s="284" t="s">
        <v>351</v>
      </c>
      <c r="B219" s="285"/>
      <c r="C219" s="285"/>
      <c r="D219" s="285"/>
      <c r="E219" s="285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02:C108">
    <sortCondition ref="A102:A108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N9" sqref="N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22</v>
      </c>
      <c r="B2" s="306" t="s">
        <v>42</v>
      </c>
      <c r="C2" s="291" t="s">
        <v>43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48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134</v>
      </c>
      <c r="AM4" s="123">
        <f t="shared" ref="AM4" si="1">Q4+AI4</f>
        <v>6</v>
      </c>
      <c r="AN4" s="8">
        <f>IF(AL4=0," ",AL4/AM4)</f>
        <v>22.333333333333332</v>
      </c>
      <c r="AO4" s="94">
        <f>IF(AL4=0," ",AL4/(AM4*T4)*100)</f>
        <v>117.54385964912282</v>
      </c>
    </row>
    <row r="5" spans="1:41" s="10" customFormat="1" ht="20.100000000000001" customHeight="1" x14ac:dyDescent="0.3">
      <c r="A5" s="26" t="s">
        <v>286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/>
      <c r="P5" s="13">
        <f t="shared" ref="P5:P18" si="2">SUM(C5:O5)</f>
        <v>131</v>
      </c>
      <c r="Q5" s="11">
        <f t="shared" ref="Q5:Q18" si="3">COUNTIF(C5:O5,"&gt;0")</f>
        <v>4</v>
      </c>
      <c r="R5" s="11">
        <f t="shared" ref="R5:R18" si="4">IF(P5=0," ",P5/Q5)</f>
        <v>32.75</v>
      </c>
      <c r="S5" s="12">
        <f t="shared" ref="S5:S18" si="5">IF(P5=0," ",P5/(Q5*B5)*100)</f>
        <v>93.571428571428569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131</v>
      </c>
      <c r="AM5" s="95">
        <f t="shared" ref="AM5:AM18" si="10">Q5+AI5</f>
        <v>4</v>
      </c>
      <c r="AN5" s="11">
        <f t="shared" ref="AN5:AN18" si="11">IF(AL5=0," ",AL5/AM5)</f>
        <v>32.75</v>
      </c>
      <c r="AO5" s="12">
        <f t="shared" ref="AO5:AO18" si="12">IF(AL5=0," ",AL5/(AM5*T5)*100)</f>
        <v>93.571428571428569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/>
      <c r="P7" s="13">
        <f t="shared" si="2"/>
        <v>201</v>
      </c>
      <c r="Q7" s="11">
        <f t="shared" si="3"/>
        <v>8</v>
      </c>
      <c r="R7" s="11">
        <f t="shared" si="4"/>
        <v>25.125</v>
      </c>
      <c r="S7" s="12">
        <f t="shared" si="5"/>
        <v>96.634615384615387</v>
      </c>
      <c r="T7" s="70">
        <v>26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201</v>
      </c>
      <c r="AM7" s="95">
        <f t="shared" si="10"/>
        <v>8</v>
      </c>
      <c r="AN7" s="11">
        <f t="shared" si="11"/>
        <v>25.125</v>
      </c>
      <c r="AO7" s="12">
        <f t="shared" si="12"/>
        <v>96.634615384615387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/>
      <c r="P8" s="13">
        <f t="shared" si="2"/>
        <v>258</v>
      </c>
      <c r="Q8" s="11">
        <f t="shared" si="3"/>
        <v>7</v>
      </c>
      <c r="R8" s="11">
        <f t="shared" si="4"/>
        <v>36.857142857142854</v>
      </c>
      <c r="S8" s="12">
        <f t="shared" si="5"/>
        <v>76.785714285714292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258</v>
      </c>
      <c r="AM8" s="95">
        <f t="shared" si="10"/>
        <v>7</v>
      </c>
      <c r="AN8" s="11">
        <f t="shared" si="11"/>
        <v>36.857142857142854</v>
      </c>
      <c r="AO8" s="12">
        <f t="shared" si="12"/>
        <v>76.785714285714292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120</v>
      </c>
      <c r="AM9" s="95">
        <f t="shared" si="10"/>
        <v>6</v>
      </c>
      <c r="AN9" s="11">
        <f t="shared" si="11"/>
        <v>20</v>
      </c>
      <c r="AO9" s="12">
        <f t="shared" si="12"/>
        <v>80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/>
      <c r="P10" s="13">
        <f t="shared" si="2"/>
        <v>106</v>
      </c>
      <c r="Q10" s="11">
        <f t="shared" si="3"/>
        <v>7</v>
      </c>
      <c r="R10" s="11">
        <f t="shared" si="4"/>
        <v>15.142857142857142</v>
      </c>
      <c r="S10" s="12">
        <f t="shared" si="5"/>
        <v>100.95238095238095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106</v>
      </c>
      <c r="AM10" s="95">
        <f t="shared" si="10"/>
        <v>7</v>
      </c>
      <c r="AN10" s="11">
        <f t="shared" si="11"/>
        <v>15.142857142857142</v>
      </c>
      <c r="AO10" s="12">
        <f t="shared" si="12"/>
        <v>100.95238095238095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/>
      <c r="P11" s="13">
        <f t="shared" si="2"/>
        <v>180</v>
      </c>
      <c r="Q11" s="11">
        <f t="shared" si="3"/>
        <v>7</v>
      </c>
      <c r="R11" s="11">
        <f t="shared" si="4"/>
        <v>25.714285714285715</v>
      </c>
      <c r="S11" s="12">
        <f t="shared" si="5"/>
        <v>91.83673469387756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180</v>
      </c>
      <c r="AM11" s="95">
        <f t="shared" si="10"/>
        <v>7</v>
      </c>
      <c r="AN11" s="11">
        <f t="shared" si="11"/>
        <v>25.714285714285715</v>
      </c>
      <c r="AO11" s="12">
        <f t="shared" si="12"/>
        <v>91.83673469387756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245</v>
      </c>
      <c r="AM12" s="95">
        <f t="shared" si="10"/>
        <v>10</v>
      </c>
      <c r="AN12" s="11">
        <f t="shared" si="11"/>
        <v>24.5</v>
      </c>
      <c r="AO12" s="12">
        <f t="shared" si="12"/>
        <v>98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/>
      <c r="P13" s="13">
        <f t="shared" si="2"/>
        <v>185</v>
      </c>
      <c r="Q13" s="11">
        <f t="shared" si="3"/>
        <v>7</v>
      </c>
      <c r="R13" s="11">
        <f t="shared" si="4"/>
        <v>26.428571428571427</v>
      </c>
      <c r="S13" s="12">
        <f t="shared" si="5"/>
        <v>91.13300492610837</v>
      </c>
      <c r="T13" s="70">
        <v>29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185</v>
      </c>
      <c r="AM13" s="95">
        <f t="shared" si="10"/>
        <v>7</v>
      </c>
      <c r="AN13" s="11">
        <f t="shared" si="11"/>
        <v>26.428571428571427</v>
      </c>
      <c r="AO13" s="12">
        <f t="shared" si="12"/>
        <v>91.13300492610837</v>
      </c>
    </row>
    <row r="14" spans="1:41" s="10" customFormat="1" ht="20.100000000000001" customHeight="1" x14ac:dyDescent="0.3">
      <c r="A14" s="26" t="s">
        <v>338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336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229</v>
      </c>
      <c r="AM15" s="95">
        <f t="shared" si="10"/>
        <v>8</v>
      </c>
      <c r="AN15" s="11">
        <f t="shared" si="11"/>
        <v>28.625</v>
      </c>
      <c r="AO15" s="12">
        <f t="shared" si="12"/>
        <v>95.416666666666671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0</v>
      </c>
      <c r="P19" s="19">
        <f t="shared" si="14"/>
        <v>1855</v>
      </c>
      <c r="Q19" s="19">
        <f t="shared" si="14"/>
        <v>72</v>
      </c>
      <c r="R19" s="19">
        <f>P19/Q19</f>
        <v>25.763888888888889</v>
      </c>
      <c r="S19" s="22"/>
      <c r="T19" s="179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1855</v>
      </c>
      <c r="AM19" s="18">
        <f>SUM(AM4:AM18)</f>
        <v>72</v>
      </c>
      <c r="AN19" s="18">
        <f t="shared" ref="AN19" si="16">AL19/AM19</f>
        <v>25.763888888888889</v>
      </c>
      <c r="AO19" s="20"/>
    </row>
    <row r="24" spans="1:41" x14ac:dyDescent="0.3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110" zoomScaleNormal="110" workbookViewId="0">
      <selection activeCell="N16" sqref="N1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20" t="s">
        <v>60</v>
      </c>
      <c r="B2" s="322" t="s">
        <v>42</v>
      </c>
      <c r="C2" s="291" t="s">
        <v>61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62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21"/>
      <c r="B3" s="323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24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8"/>
      <c r="AI3" s="319"/>
      <c r="AJ3" s="325"/>
      <c r="AK3" s="76"/>
      <c r="AL3" s="318"/>
      <c r="AM3" s="319"/>
      <c r="AN3" s="319"/>
      <c r="AO3" s="325"/>
    </row>
    <row r="4" spans="1:41" s="10" customFormat="1" ht="20.100000000000001" customHeight="1" x14ac:dyDescent="0.3">
      <c r="A4" s="177" t="s">
        <v>307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/>
      <c r="P4" s="9">
        <f>SUM(C4:O4)</f>
        <v>159</v>
      </c>
      <c r="Q4" s="8">
        <f>COUNTIF(C4:O4,"&gt;0")</f>
        <v>5</v>
      </c>
      <c r="R4" s="8">
        <f>IF(P4=0," ",P4/Q4)</f>
        <v>31.8</v>
      </c>
      <c r="S4" s="94">
        <f>IF(P4=0," ",P4/(Q4*B4)*100)</f>
        <v>102.58064516129033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159</v>
      </c>
      <c r="AM4" s="123">
        <f t="shared" ref="AM4" si="1">Q4+AI4</f>
        <v>5</v>
      </c>
      <c r="AN4" s="8">
        <f>IF(AL4=0," ",AL4/AM4)</f>
        <v>31.8</v>
      </c>
      <c r="AO4" s="94">
        <f>IF(AL4=0," ",AL4/(AM4*T4)*100)</f>
        <v>102.58064516129033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219</v>
      </c>
      <c r="AM5" s="95">
        <f t="shared" ref="AM5:AM18" si="10">Q5+AI5</f>
        <v>4</v>
      </c>
      <c r="AN5" s="11">
        <f t="shared" ref="AN5:AN18" si="11">IF(AL5=0," ",AL5/AM5)</f>
        <v>54.75</v>
      </c>
      <c r="AO5" s="12">
        <f t="shared" ref="AO5:AO18" si="12">IF(AL5=0," ",AL5/(AM5*T5)*100)</f>
        <v>105.28846153846155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356</v>
      </c>
      <c r="AM9" s="95">
        <f t="shared" si="10"/>
        <v>7</v>
      </c>
      <c r="AN9" s="11">
        <f t="shared" si="11"/>
        <v>50.857142857142854</v>
      </c>
      <c r="AO9" s="12">
        <f t="shared" si="12"/>
        <v>95.956873315363879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/>
      <c r="P10" s="13">
        <f t="shared" si="2"/>
        <v>235</v>
      </c>
      <c r="Q10" s="11">
        <f t="shared" si="3"/>
        <v>5</v>
      </c>
      <c r="R10" s="11">
        <f t="shared" si="4"/>
        <v>47</v>
      </c>
      <c r="S10" s="12">
        <f t="shared" si="5"/>
        <v>92.156862745098039</v>
      </c>
      <c r="T10" s="70">
        <v>51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235</v>
      </c>
      <c r="AM10" s="95">
        <f t="shared" si="10"/>
        <v>5</v>
      </c>
      <c r="AN10" s="11">
        <f t="shared" si="11"/>
        <v>47</v>
      </c>
      <c r="AO10" s="12">
        <f t="shared" si="12"/>
        <v>92.156862745098039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/>
      <c r="P12" s="13">
        <f t="shared" si="2"/>
        <v>656</v>
      </c>
      <c r="Q12" s="11">
        <f t="shared" si="3"/>
        <v>9</v>
      </c>
      <c r="R12" s="11">
        <f t="shared" si="4"/>
        <v>72.888888888888886</v>
      </c>
      <c r="S12" s="12">
        <f t="shared" si="5"/>
        <v>80.987654320987659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656</v>
      </c>
      <c r="AM12" s="95">
        <f t="shared" si="10"/>
        <v>9</v>
      </c>
      <c r="AN12" s="11">
        <f t="shared" si="11"/>
        <v>72.888888888888886</v>
      </c>
      <c r="AO12" s="12">
        <f t="shared" si="12"/>
        <v>80.987654320987659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/>
      <c r="P13" s="13">
        <f t="shared" si="2"/>
        <v>164</v>
      </c>
      <c r="Q13" s="11">
        <f t="shared" si="3"/>
        <v>6</v>
      </c>
      <c r="R13" s="11">
        <f t="shared" si="4"/>
        <v>27.333333333333332</v>
      </c>
      <c r="S13" s="12">
        <f t="shared" si="5"/>
        <v>105.12820512820514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164</v>
      </c>
      <c r="AM13" s="95">
        <f t="shared" si="10"/>
        <v>6</v>
      </c>
      <c r="AN13" s="11">
        <f t="shared" si="11"/>
        <v>27.333333333333332</v>
      </c>
      <c r="AO13" s="12">
        <f t="shared" si="12"/>
        <v>105.12820512820514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/>
      <c r="P14" s="13">
        <f t="shared" si="2"/>
        <v>333</v>
      </c>
      <c r="Q14" s="11">
        <f t="shared" si="3"/>
        <v>8</v>
      </c>
      <c r="R14" s="11">
        <f t="shared" si="4"/>
        <v>41.625</v>
      </c>
      <c r="S14" s="12">
        <f t="shared" si="5"/>
        <v>81.617647058823522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333</v>
      </c>
      <c r="AM14" s="95">
        <f t="shared" si="10"/>
        <v>8</v>
      </c>
      <c r="AN14" s="11">
        <f t="shared" si="11"/>
        <v>41.625</v>
      </c>
      <c r="AO14" s="12">
        <f t="shared" si="12"/>
        <v>81.617647058823522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190</v>
      </c>
      <c r="AM15" s="95">
        <f t="shared" si="10"/>
        <v>6</v>
      </c>
      <c r="AN15" s="11">
        <f t="shared" si="11"/>
        <v>31.666666666666668</v>
      </c>
      <c r="AO15" s="12">
        <f t="shared" si="12"/>
        <v>95.959595959595958</v>
      </c>
    </row>
    <row r="16" spans="1:41" s="10" customFormat="1" ht="20.100000000000001" customHeight="1" x14ac:dyDescent="0.3">
      <c r="A16" s="275" t="s">
        <v>372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/>
      <c r="P16" s="13">
        <f t="shared" si="2"/>
        <v>44</v>
      </c>
      <c r="Q16" s="11">
        <f t="shared" si="3"/>
        <v>3</v>
      </c>
      <c r="R16" s="11">
        <f t="shared" si="4"/>
        <v>14.666666666666666</v>
      </c>
      <c r="S16" s="12">
        <f t="shared" si="5"/>
        <v>97.777777777777771</v>
      </c>
      <c r="T16" s="131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44</v>
      </c>
      <c r="AM16" s="95">
        <f t="shared" si="10"/>
        <v>3</v>
      </c>
      <c r="AN16" s="11">
        <f t="shared" si="11"/>
        <v>14.666666666666666</v>
      </c>
      <c r="AO16" s="12">
        <f t="shared" si="12"/>
        <v>97.777777777777771</v>
      </c>
    </row>
    <row r="17" spans="1:41" s="10" customFormat="1" ht="20.100000000000001" customHeight="1" x14ac:dyDescent="0.3">
      <c r="A17" s="26" t="s">
        <v>348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131">
        <v>52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305</v>
      </c>
      <c r="AM17" s="95">
        <f t="shared" si="10"/>
        <v>6</v>
      </c>
      <c r="AN17" s="11">
        <f t="shared" si="11"/>
        <v>50.833333333333336</v>
      </c>
      <c r="AO17" s="12">
        <f t="shared" si="12"/>
        <v>97.756410256410248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0</v>
      </c>
      <c r="P19" s="19">
        <f t="shared" ref="P19:Q19" si="14">SUM(P4:P17)</f>
        <v>2971</v>
      </c>
      <c r="Q19" s="19">
        <f t="shared" si="14"/>
        <v>71</v>
      </c>
      <c r="R19" s="19">
        <f>P19/Q19</f>
        <v>41.845070422535208</v>
      </c>
      <c r="S19" s="22"/>
      <c r="T19" s="179">
        <f>SUM(T4:T18)</f>
        <v>598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3013</v>
      </c>
      <c r="AM19" s="18">
        <f>SUM(AM4:AM18)</f>
        <v>72</v>
      </c>
      <c r="AN19" s="18">
        <f t="shared" ref="AN19" si="17">AL19/AM19</f>
        <v>41.847222222222221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tabSelected="1" zoomScaleNormal="100" workbookViewId="0">
      <selection activeCell="Q21" sqref="Q2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20" t="s">
        <v>75</v>
      </c>
      <c r="B2" s="306" t="s">
        <v>42</v>
      </c>
      <c r="C2" s="291" t="s">
        <v>76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77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21"/>
      <c r="B3" s="307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/>
      <c r="P4" s="9">
        <f>SUM(C4:O4)</f>
        <v>261</v>
      </c>
      <c r="Q4" s="8">
        <f>COUNTIF(C4:O4,"&gt;0")</f>
        <v>8</v>
      </c>
      <c r="R4" s="8">
        <f>IF(P4=0," ",P4/Q4)</f>
        <v>32.625</v>
      </c>
      <c r="S4" s="94">
        <f>IF(P4=0," ",P4/(Q4*B4)*100)</f>
        <v>101.953125</v>
      </c>
      <c r="T4" s="71">
        <v>32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261</v>
      </c>
      <c r="AM4" s="123">
        <f t="shared" ref="AM4" si="1">Q4+AI4</f>
        <v>8</v>
      </c>
      <c r="AN4" s="8">
        <f>IF(AL4=0," ",AL4/AM4)</f>
        <v>32.625</v>
      </c>
      <c r="AO4" s="94">
        <f>IF(AL4=0," ",AL4/(AM4*T4)*100)</f>
        <v>101.953125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/>
      <c r="P5" s="13">
        <f t="shared" ref="P5:P18" si="2">SUM(C5:O5)</f>
        <v>103</v>
      </c>
      <c r="Q5" s="11">
        <f t="shared" ref="Q5:Q18" si="3">COUNTIF(C5:O5,"&gt;0")</f>
        <v>8</v>
      </c>
      <c r="R5" s="11">
        <f t="shared" ref="R5:R18" si="4">IF(P5=0," ",P5/Q5)</f>
        <v>12.875</v>
      </c>
      <c r="S5" s="12">
        <f t="shared" ref="S5:S18" si="5">IF(P5=0," ",P5/(Q5*B5)*100)</f>
        <v>71.527777777777786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103</v>
      </c>
      <c r="AM5" s="95">
        <f t="shared" ref="AM5:AM18" si="10">Q5+AI5</f>
        <v>8</v>
      </c>
      <c r="AN5" s="11">
        <f t="shared" ref="AN5:AN18" si="11">IF(AL5=0," ",AL5/AM5)</f>
        <v>12.875</v>
      </c>
      <c r="AO5" s="12">
        <f t="shared" ref="AO5:AO18" si="12">IF(AL5=0," ",AL5/(AM5*T5)*100)</f>
        <v>71.527777777777786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174</v>
      </c>
      <c r="AM6" s="95">
        <f t="shared" si="10"/>
        <v>7</v>
      </c>
      <c r="AN6" s="11">
        <f t="shared" si="11"/>
        <v>24.857142857142858</v>
      </c>
      <c r="AO6" s="12">
        <f t="shared" si="12"/>
        <v>88.775510204081627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/>
      <c r="P7" s="13">
        <f t="shared" si="2"/>
        <v>83</v>
      </c>
      <c r="Q7" s="11">
        <f t="shared" si="3"/>
        <v>8</v>
      </c>
      <c r="R7" s="11">
        <f t="shared" si="4"/>
        <v>10.375</v>
      </c>
      <c r="S7" s="12">
        <f t="shared" si="5"/>
        <v>69.166666666666671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83</v>
      </c>
      <c r="AM7" s="95">
        <f t="shared" si="10"/>
        <v>8</v>
      </c>
      <c r="AN7" s="11">
        <f t="shared" si="11"/>
        <v>10.375</v>
      </c>
      <c r="AO7" s="12">
        <f t="shared" si="12"/>
        <v>69.166666666666671</v>
      </c>
    </row>
    <row r="8" spans="1:41" s="10" customFormat="1" ht="20.100000000000001" customHeight="1" x14ac:dyDescent="0.3">
      <c r="A8" s="26" t="s">
        <v>346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393</v>
      </c>
      <c r="AM9" s="95">
        <f t="shared" si="10"/>
        <v>4</v>
      </c>
      <c r="AN9" s="11">
        <f t="shared" si="11"/>
        <v>98.25</v>
      </c>
      <c r="AO9" s="12">
        <f t="shared" si="12"/>
        <v>78.600000000000009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105</v>
      </c>
      <c r="AM10" s="95">
        <f t="shared" si="10"/>
        <v>7</v>
      </c>
      <c r="AN10" s="11">
        <f t="shared" si="11"/>
        <v>15</v>
      </c>
      <c r="AO10" s="12">
        <f t="shared" si="12"/>
        <v>100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75</v>
      </c>
      <c r="AM12" s="95">
        <f t="shared" si="10"/>
        <v>7</v>
      </c>
      <c r="AN12" s="11">
        <f t="shared" si="11"/>
        <v>10.714285714285714</v>
      </c>
      <c r="AO12" s="12">
        <f t="shared" si="12"/>
        <v>66.964285714285708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/>
      <c r="P13" s="13">
        <f t="shared" si="2"/>
        <v>125</v>
      </c>
      <c r="Q13" s="11">
        <f t="shared" si="3"/>
        <v>7</v>
      </c>
      <c r="R13" s="11">
        <f t="shared" si="4"/>
        <v>17.857142857142858</v>
      </c>
      <c r="S13" s="12">
        <f t="shared" si="5"/>
        <v>111.60714285714286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125</v>
      </c>
      <c r="AM13" s="95">
        <f t="shared" si="10"/>
        <v>7</v>
      </c>
      <c r="AN13" s="11">
        <f t="shared" si="11"/>
        <v>17.857142857142858</v>
      </c>
      <c r="AO13" s="12">
        <f t="shared" si="12"/>
        <v>111.60714285714286</v>
      </c>
    </row>
    <row r="14" spans="1:41" s="10" customFormat="1" ht="20.100000000000001" customHeight="1" x14ac:dyDescent="0.3">
      <c r="A14" s="26" t="s">
        <v>341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/>
      <c r="P14" s="13">
        <f t="shared" si="2"/>
        <v>117</v>
      </c>
      <c r="Q14" s="11">
        <f t="shared" si="3"/>
        <v>9</v>
      </c>
      <c r="R14" s="11">
        <f t="shared" si="4"/>
        <v>13</v>
      </c>
      <c r="S14" s="12">
        <f t="shared" si="5"/>
        <v>86.666666666666671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117</v>
      </c>
      <c r="AM14" s="95">
        <f t="shared" si="10"/>
        <v>9</v>
      </c>
      <c r="AN14" s="11">
        <f t="shared" si="11"/>
        <v>13</v>
      </c>
      <c r="AO14" s="12">
        <f t="shared" si="12"/>
        <v>86.666666666666671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0</v>
      </c>
      <c r="P19" s="19">
        <f>SUM(P4:P18)</f>
        <v>1651</v>
      </c>
      <c r="Q19" s="19">
        <f>SUM(Q4:Q18)</f>
        <v>72</v>
      </c>
      <c r="R19" s="19">
        <f>P19/Q19</f>
        <v>22.930555555555557</v>
      </c>
      <c r="S19" s="22"/>
      <c r="T19" s="179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1651</v>
      </c>
      <c r="AM19" s="18">
        <f>SUM(AM4:AM18)</f>
        <v>72</v>
      </c>
      <c r="AN19" s="18">
        <f t="shared" ref="AN19" si="16">AL19/AM19</f>
        <v>22.930555555555557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0" zoomScaleNormal="80" workbookViewId="0">
      <selection activeCell="N14" sqref="N14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20" t="s">
        <v>86</v>
      </c>
      <c r="B2" s="306" t="s">
        <v>42</v>
      </c>
      <c r="C2" s="291" t="s">
        <v>87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88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21"/>
      <c r="B3" s="307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337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/>
      <c r="P4" s="9">
        <f>SUM(C4:O4)</f>
        <v>55</v>
      </c>
      <c r="Q4" s="8">
        <f>COUNTIF(C4:O4,"&gt;0")</f>
        <v>5</v>
      </c>
      <c r="R4" s="8">
        <f>IF(P4=0," ",P4/Q4)</f>
        <v>11</v>
      </c>
      <c r="S4" s="94">
        <f t="shared" ref="S4" si="0">IF(P4=0," ",P4/(Q4*T4)*100)</f>
        <v>73.333333333333329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55</v>
      </c>
      <c r="AM4" s="123">
        <f t="shared" ref="AM4" si="2">Q4+AI4</f>
        <v>5</v>
      </c>
      <c r="AN4" s="8">
        <f>IF(AL4=0," ",AL4/AM4)</f>
        <v>11</v>
      </c>
      <c r="AO4" s="94">
        <f>IF(AL4=0," ",AL4/(AM4*T4)*100)</f>
        <v>73.333333333333329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/>
      <c r="P5" s="13">
        <f t="shared" ref="P5:P18" si="3">SUM(C5:O5)</f>
        <v>411</v>
      </c>
      <c r="Q5" s="11">
        <f t="shared" ref="Q5:Q18" si="4">COUNTIF(C5:O5,"&gt;0")</f>
        <v>9</v>
      </c>
      <c r="R5" s="11">
        <f t="shared" ref="R5:R18" si="5">IF(P5=0," ",P5/Q5)</f>
        <v>45.666666666666664</v>
      </c>
      <c r="S5" s="12">
        <f t="shared" ref="S5:S18" si="6">IF(P5=0," ",P5/(Q5*T5)*100)</f>
        <v>120.17543859649122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411</v>
      </c>
      <c r="AM5" s="95">
        <f t="shared" ref="AM5:AM18" si="11">Q5+AI5</f>
        <v>9</v>
      </c>
      <c r="AN5" s="11">
        <f t="shared" ref="AN5:AN18" si="12">IF(AL5=0," ",AL5/AM5)</f>
        <v>45.666666666666664</v>
      </c>
      <c r="AO5" s="12">
        <f t="shared" ref="AO5:AO18" si="13">IF(AL5=0," ",AL5/(AM5*T5)*100)</f>
        <v>120.17543859649122</v>
      </c>
    </row>
    <row r="6" spans="1:41" s="10" customFormat="1" ht="20.100000000000001" customHeight="1" x14ac:dyDescent="0.3">
      <c r="A6" s="69" t="s">
        <v>308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231</v>
      </c>
      <c r="AM7" s="95">
        <f t="shared" si="11"/>
        <v>7</v>
      </c>
      <c r="AN7" s="11">
        <f t="shared" si="12"/>
        <v>33</v>
      </c>
      <c r="AO7" s="12">
        <f t="shared" si="13"/>
        <v>97.058823529411768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326</v>
      </c>
      <c r="AM8" s="95">
        <f t="shared" si="11"/>
        <v>5</v>
      </c>
      <c r="AN8" s="11">
        <f t="shared" si="12"/>
        <v>65.2</v>
      </c>
      <c r="AO8" s="12">
        <f t="shared" si="13"/>
        <v>81.5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/>
      <c r="P11" s="13">
        <f t="shared" si="3"/>
        <v>198</v>
      </c>
      <c r="Q11" s="11">
        <f t="shared" si="4"/>
        <v>8</v>
      </c>
      <c r="R11" s="11">
        <f t="shared" si="5"/>
        <v>24.75</v>
      </c>
      <c r="S11" s="12">
        <f t="shared" si="6"/>
        <v>112.5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198</v>
      </c>
      <c r="AM11" s="95">
        <f t="shared" si="11"/>
        <v>8</v>
      </c>
      <c r="AN11" s="11">
        <f t="shared" si="12"/>
        <v>24.75</v>
      </c>
      <c r="AO11" s="12">
        <f t="shared" si="13"/>
        <v>112.5</v>
      </c>
    </row>
    <row r="12" spans="1:41" s="10" customFormat="1" ht="20.100000000000001" customHeight="1" x14ac:dyDescent="0.3">
      <c r="A12" s="26" t="s">
        <v>371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104.54545454545455</v>
      </c>
      <c r="T12" s="131">
        <v>22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92</v>
      </c>
      <c r="AM12" s="95">
        <f t="shared" si="11"/>
        <v>4</v>
      </c>
      <c r="AN12" s="11">
        <f t="shared" si="12"/>
        <v>23</v>
      </c>
      <c r="AO12" s="12">
        <f t="shared" si="13"/>
        <v>104.54545454545455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/>
      <c r="P13" s="13">
        <f t="shared" si="3"/>
        <v>268</v>
      </c>
      <c r="Q13" s="11">
        <f t="shared" si="4"/>
        <v>7</v>
      </c>
      <c r="R13" s="11">
        <f t="shared" si="5"/>
        <v>38.285714285714285</v>
      </c>
      <c r="S13" s="12">
        <f t="shared" si="6"/>
        <v>116.01731601731602</v>
      </c>
      <c r="T13" s="70">
        <v>33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268</v>
      </c>
      <c r="AM13" s="95">
        <f t="shared" si="11"/>
        <v>7</v>
      </c>
      <c r="AN13" s="11">
        <f t="shared" si="12"/>
        <v>38.285714285714285</v>
      </c>
      <c r="AO13" s="12">
        <f t="shared" si="13"/>
        <v>116.01731601731602</v>
      </c>
    </row>
    <row r="14" spans="1:41" s="10" customFormat="1" ht="20.100000000000001" customHeight="1" x14ac:dyDescent="0.3">
      <c r="A14" s="26" t="s">
        <v>318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/>
      <c r="P14" s="13">
        <f t="shared" si="3"/>
        <v>286</v>
      </c>
      <c r="Q14" s="11">
        <f t="shared" si="4"/>
        <v>8</v>
      </c>
      <c r="R14" s="11">
        <f t="shared" si="5"/>
        <v>35.75</v>
      </c>
      <c r="S14" s="12">
        <f t="shared" si="6"/>
        <v>91.666666666666657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286</v>
      </c>
      <c r="AM14" s="95">
        <f t="shared" si="11"/>
        <v>8</v>
      </c>
      <c r="AN14" s="11">
        <f t="shared" si="12"/>
        <v>35.75</v>
      </c>
      <c r="AO14" s="12">
        <f t="shared" si="13"/>
        <v>91.666666666666657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374</v>
      </c>
      <c r="AM15" s="95">
        <f t="shared" si="11"/>
        <v>6</v>
      </c>
      <c r="AN15" s="11">
        <f t="shared" si="12"/>
        <v>62.333333333333336</v>
      </c>
      <c r="AO15" s="12">
        <f t="shared" si="13"/>
        <v>105.64971751412429</v>
      </c>
    </row>
    <row r="16" spans="1:41" s="10" customFormat="1" ht="20.100000000000001" customHeight="1" x14ac:dyDescent="0.3">
      <c r="A16" s="26" t="s">
        <v>357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/>
      <c r="P16" s="13">
        <f t="shared" si="14"/>
        <v>285</v>
      </c>
      <c r="Q16" s="11">
        <f t="shared" si="15"/>
        <v>9</v>
      </c>
      <c r="R16" s="11">
        <f t="shared" si="16"/>
        <v>31.666666666666668</v>
      </c>
      <c r="S16" s="12">
        <f t="shared" si="17"/>
        <v>98.958333333333343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285</v>
      </c>
      <c r="AM16" s="95">
        <f t="shared" si="11"/>
        <v>9</v>
      </c>
      <c r="AN16" s="11">
        <f t="shared" si="12"/>
        <v>31.666666666666668</v>
      </c>
      <c r="AO16" s="12">
        <f t="shared" si="13"/>
        <v>98.958333333333343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462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0</v>
      </c>
      <c r="P19" s="19">
        <f>SUM(P4:P18)</f>
        <v>2632</v>
      </c>
      <c r="Q19" s="19">
        <f>SUM(Q4:Q18)</f>
        <v>72</v>
      </c>
      <c r="R19" s="19">
        <f>P19/Q19</f>
        <v>36.555555555555557</v>
      </c>
      <c r="S19" s="22"/>
      <c r="T19" s="179">
        <f>SUM(T4:T18)</f>
        <v>462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2632</v>
      </c>
      <c r="AM19" s="18">
        <f>SUM(AM4:AM18)</f>
        <v>72</v>
      </c>
      <c r="AN19" s="18">
        <f t="shared" ref="AN19" si="21">AL19/AM19</f>
        <v>36.555555555555557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N14" sqref="N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20" t="s">
        <v>97</v>
      </c>
      <c r="B2" s="306" t="s">
        <v>42</v>
      </c>
      <c r="C2" s="291" t="s">
        <v>98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99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21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/>
      <c r="P5" s="13">
        <f t="shared" ref="P5:P18" si="2">SUM(C5:O5)</f>
        <v>193</v>
      </c>
      <c r="Q5" s="11">
        <f t="shared" ref="Q5:Q18" si="3">COUNTIF(C5:O5,"&gt;0")</f>
        <v>5</v>
      </c>
      <c r="R5" s="11">
        <f t="shared" ref="R5:R18" si="4">IF(P5=0," ",P5/Q5)</f>
        <v>38.6</v>
      </c>
      <c r="S5" s="12">
        <f t="shared" ref="S5:S18" si="5">IF(P5=0," ",P5/(Q5*B5)*100)</f>
        <v>94.146341463414629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193</v>
      </c>
      <c r="AM5" s="95">
        <f t="shared" ref="AM5:AM18" si="10">Q5+AI5</f>
        <v>5</v>
      </c>
      <c r="AN5" s="11">
        <f t="shared" ref="AN5:AN18" si="11">IF(AL5=0," ",AL5/AM5)</f>
        <v>38.6</v>
      </c>
      <c r="AO5" s="12">
        <f t="shared" ref="AO5:AO18" si="12">IF(AL5=0," ",AL5/(AM5*T5)*100)</f>
        <v>94.146341463414629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/>
      <c r="P6" s="13">
        <f t="shared" si="2"/>
        <v>161</v>
      </c>
      <c r="Q6" s="11">
        <f t="shared" si="3"/>
        <v>4</v>
      </c>
      <c r="R6" s="11">
        <f t="shared" si="4"/>
        <v>40.25</v>
      </c>
      <c r="S6" s="12">
        <f t="shared" si="5"/>
        <v>105.92105263157893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161</v>
      </c>
      <c r="AM6" s="95">
        <f t="shared" si="10"/>
        <v>4</v>
      </c>
      <c r="AN6" s="11">
        <f t="shared" si="11"/>
        <v>40.25</v>
      </c>
      <c r="AO6" s="12">
        <f t="shared" si="12"/>
        <v>105.92105263157893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/>
      <c r="P7" s="13">
        <f t="shared" si="2"/>
        <v>283</v>
      </c>
      <c r="Q7" s="11">
        <f t="shared" si="3"/>
        <v>10</v>
      </c>
      <c r="R7" s="11">
        <f t="shared" si="4"/>
        <v>28.3</v>
      </c>
      <c r="S7" s="12">
        <f t="shared" si="5"/>
        <v>113.19999999999999</v>
      </c>
      <c r="T7" s="70">
        <v>25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283</v>
      </c>
      <c r="AM7" s="95">
        <f t="shared" si="10"/>
        <v>10</v>
      </c>
      <c r="AN7" s="11">
        <f t="shared" si="11"/>
        <v>28.3</v>
      </c>
      <c r="AO7" s="12">
        <f t="shared" si="12"/>
        <v>113.19999999999999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/>
      <c r="P8" s="13">
        <f t="shared" si="2"/>
        <v>69.000100000000003</v>
      </c>
      <c r="Q8" s="11">
        <f t="shared" si="3"/>
        <v>7</v>
      </c>
      <c r="R8" s="11">
        <f t="shared" si="4"/>
        <v>9.8571571428571438</v>
      </c>
      <c r="S8" s="12">
        <f t="shared" si="5"/>
        <v>65.714380952380964</v>
      </c>
      <c r="T8" s="70">
        <v>15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69.000100000000003</v>
      </c>
      <c r="AM8" s="95">
        <f t="shared" si="10"/>
        <v>7</v>
      </c>
      <c r="AN8" s="11">
        <f t="shared" si="11"/>
        <v>9.8571571428571438</v>
      </c>
      <c r="AO8" s="12">
        <f t="shared" si="12"/>
        <v>65.714380952380964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335</v>
      </c>
      <c r="AM9" s="95">
        <f t="shared" si="10"/>
        <v>8</v>
      </c>
      <c r="AN9" s="11">
        <f t="shared" si="11"/>
        <v>41.875</v>
      </c>
      <c r="AO9" s="12">
        <f t="shared" si="12"/>
        <v>107.37179487179486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117</v>
      </c>
      <c r="AM10" s="95">
        <f t="shared" si="10"/>
        <v>5</v>
      </c>
      <c r="AN10" s="11">
        <f t="shared" si="11"/>
        <v>23.4</v>
      </c>
      <c r="AO10" s="12">
        <f t="shared" si="12"/>
        <v>101.7391304347826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/>
      <c r="P11" s="13">
        <f t="shared" si="2"/>
        <v>590</v>
      </c>
      <c r="Q11" s="11">
        <f t="shared" si="3"/>
        <v>7</v>
      </c>
      <c r="R11" s="11">
        <f t="shared" si="4"/>
        <v>84.285714285714292</v>
      </c>
      <c r="S11" s="12">
        <f t="shared" si="5"/>
        <v>131.69642857142858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590</v>
      </c>
      <c r="AM11" s="95">
        <f t="shared" si="10"/>
        <v>7</v>
      </c>
      <c r="AN11" s="11">
        <f t="shared" si="11"/>
        <v>84.285714285714292</v>
      </c>
      <c r="AO11" s="12">
        <f t="shared" si="12"/>
        <v>131.69642857142858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309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169</v>
      </c>
      <c r="AM13" s="95">
        <f t="shared" si="10"/>
        <v>7</v>
      </c>
      <c r="AN13" s="11">
        <f t="shared" si="11"/>
        <v>24.142857142857142</v>
      </c>
      <c r="AO13" s="12">
        <f t="shared" si="12"/>
        <v>89.417989417989418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310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/>
      <c r="P15" s="13">
        <f t="shared" si="2"/>
        <v>99</v>
      </c>
      <c r="Q15" s="11">
        <f t="shared" si="3"/>
        <v>7</v>
      </c>
      <c r="R15" s="11">
        <f t="shared" si="4"/>
        <v>14.142857142857142</v>
      </c>
      <c r="S15" s="12">
        <f t="shared" si="5"/>
        <v>88.392857142857139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99</v>
      </c>
      <c r="AM15" s="95">
        <f t="shared" si="10"/>
        <v>7</v>
      </c>
      <c r="AN15" s="11">
        <f t="shared" si="11"/>
        <v>14.142857142857142</v>
      </c>
      <c r="AO15" s="12">
        <f t="shared" si="12"/>
        <v>88.392857142857139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0</v>
      </c>
      <c r="P19" s="19">
        <f t="shared" si="14"/>
        <v>2363.0001000000002</v>
      </c>
      <c r="Q19" s="19">
        <f t="shared" si="14"/>
        <v>72</v>
      </c>
      <c r="R19" s="19">
        <f>P19/Q19</f>
        <v>32.819445833333333</v>
      </c>
      <c r="S19" s="22"/>
      <c r="T19" s="179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2363.0001000000002</v>
      </c>
      <c r="AM19" s="18">
        <f>SUM(AM4:AM18)</f>
        <v>72</v>
      </c>
      <c r="AN19" s="18">
        <f t="shared" ref="AN19" si="17">AL19/AM19</f>
        <v>32.819445833333333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N6" sqref="N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26</v>
      </c>
      <c r="B2" s="306" t="s">
        <v>42</v>
      </c>
      <c r="C2" s="291" t="s">
        <v>43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110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311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212</v>
      </c>
      <c r="AM4" s="123">
        <f t="shared" ref="AM4" si="1">Q4+AI4</f>
        <v>6</v>
      </c>
      <c r="AN4" s="8">
        <f>IF(AL4=0," ",AL4/AM4)</f>
        <v>35.333333333333336</v>
      </c>
      <c r="AO4" s="94">
        <f t="shared" ref="AO4" si="2">IF(AL4=0," ",AL4/(AM4*T4)*100)</f>
        <v>92.982456140350877</v>
      </c>
    </row>
    <row r="5" spans="1:41" s="10" customFormat="1" ht="20.100000000000001" customHeight="1" x14ac:dyDescent="0.3">
      <c r="A5" s="26" t="s">
        <v>319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/>
      <c r="P5" s="13">
        <f t="shared" ref="P5:P18" si="3">SUM(C5:O5)</f>
        <v>410</v>
      </c>
      <c r="Q5" s="11">
        <f t="shared" ref="Q5:Q18" si="4">COUNTIF(C5:O5,"&gt;0")</f>
        <v>8</v>
      </c>
      <c r="R5" s="11">
        <f t="shared" ref="R5:R18" si="5">IF(P5=0," ",P5/Q5)</f>
        <v>51.25</v>
      </c>
      <c r="S5" s="12">
        <f t="shared" ref="S5:S18" si="6">IF(P5=0," ",P5/(Q5*B5)*100)</f>
        <v>88.362068965517238</v>
      </c>
      <c r="T5" s="70">
        <v>58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410</v>
      </c>
      <c r="AM5" s="95">
        <f t="shared" ref="AM5:AM18" si="11">Q5+AI5</f>
        <v>8</v>
      </c>
      <c r="AN5" s="11">
        <f t="shared" ref="AN5:AN18" si="12">IF(AL5=0," ",AL5/AM5)</f>
        <v>51.25</v>
      </c>
      <c r="AO5" s="12">
        <f t="shared" ref="AO5:AO18" si="13">IF(AL5=0," ",AL5/(AM5*T5)*100)</f>
        <v>88.362068965517238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/>
      <c r="P6" s="13">
        <f t="shared" si="3"/>
        <v>258</v>
      </c>
      <c r="Q6" s="11">
        <f t="shared" si="4"/>
        <v>9</v>
      </c>
      <c r="R6" s="11">
        <f t="shared" si="5"/>
        <v>28.666666666666668</v>
      </c>
      <c r="S6" s="12">
        <f t="shared" si="6"/>
        <v>106.17283950617285</v>
      </c>
      <c r="T6" s="70">
        <v>27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258</v>
      </c>
      <c r="AM6" s="95">
        <f t="shared" si="11"/>
        <v>9</v>
      </c>
      <c r="AN6" s="11">
        <f t="shared" si="12"/>
        <v>28.666666666666668</v>
      </c>
      <c r="AO6" s="12">
        <f t="shared" si="13"/>
        <v>106.17283950617285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/>
      <c r="P7" s="13">
        <f t="shared" si="3"/>
        <v>288</v>
      </c>
      <c r="Q7" s="11">
        <f t="shared" si="4"/>
        <v>8</v>
      </c>
      <c r="R7" s="11">
        <f t="shared" si="5"/>
        <v>36</v>
      </c>
      <c r="S7" s="12">
        <f t="shared" si="6"/>
        <v>120</v>
      </c>
      <c r="T7" s="70">
        <v>30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288</v>
      </c>
      <c r="AM7" s="95">
        <f t="shared" si="11"/>
        <v>8</v>
      </c>
      <c r="AN7" s="11">
        <f t="shared" si="12"/>
        <v>36</v>
      </c>
      <c r="AO7" s="12">
        <f t="shared" si="13"/>
        <v>120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419</v>
      </c>
      <c r="AM8" s="95">
        <f t="shared" si="11"/>
        <v>8</v>
      </c>
      <c r="AN8" s="11">
        <f t="shared" si="12"/>
        <v>52.375</v>
      </c>
      <c r="AO8" s="12">
        <f t="shared" si="13"/>
        <v>98.820754716981128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/>
      <c r="P9" s="13">
        <f t="shared" si="3"/>
        <v>100</v>
      </c>
      <c r="Q9" s="11">
        <f t="shared" si="4"/>
        <v>6</v>
      </c>
      <c r="R9" s="11">
        <f t="shared" si="5"/>
        <v>16.666666666666668</v>
      </c>
      <c r="S9" s="12">
        <f t="shared" si="6"/>
        <v>69.444444444444443</v>
      </c>
      <c r="T9" s="70">
        <v>24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100</v>
      </c>
      <c r="AM9" s="95">
        <f t="shared" si="11"/>
        <v>6</v>
      </c>
      <c r="AN9" s="11">
        <f t="shared" si="12"/>
        <v>16.666666666666668</v>
      </c>
      <c r="AO9" s="12">
        <f t="shared" si="13"/>
        <v>69.444444444444443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/>
      <c r="P11" s="13">
        <f t="shared" si="3"/>
        <v>547</v>
      </c>
      <c r="Q11" s="11">
        <f t="shared" si="4"/>
        <v>10</v>
      </c>
      <c r="R11" s="11">
        <f t="shared" si="5"/>
        <v>54.7</v>
      </c>
      <c r="S11" s="12">
        <f t="shared" si="6"/>
        <v>101.2962962962963</v>
      </c>
      <c r="T11" s="70">
        <v>54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547</v>
      </c>
      <c r="AM11" s="95">
        <f t="shared" si="11"/>
        <v>10</v>
      </c>
      <c r="AN11" s="11">
        <f t="shared" si="12"/>
        <v>54.7</v>
      </c>
      <c r="AO11" s="12">
        <f t="shared" si="13"/>
        <v>101.2962962962963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/>
      <c r="P12" s="13">
        <f t="shared" si="3"/>
        <v>318</v>
      </c>
      <c r="Q12" s="11">
        <f t="shared" si="4"/>
        <v>9</v>
      </c>
      <c r="R12" s="11">
        <f t="shared" si="5"/>
        <v>35.333333333333336</v>
      </c>
      <c r="S12" s="12">
        <f t="shared" si="6"/>
        <v>95.495495495495504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318</v>
      </c>
      <c r="AM12" s="95">
        <f t="shared" si="11"/>
        <v>9</v>
      </c>
      <c r="AN12" s="11">
        <f t="shared" si="12"/>
        <v>35.333333333333336</v>
      </c>
      <c r="AO12" s="12">
        <f t="shared" si="13"/>
        <v>95.495495495495504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0</v>
      </c>
      <c r="P19" s="19">
        <f t="shared" si="15"/>
        <v>2741</v>
      </c>
      <c r="Q19" s="19">
        <f t="shared" si="15"/>
        <v>72</v>
      </c>
      <c r="R19" s="19">
        <f>P19/Q19</f>
        <v>38.069444444444443</v>
      </c>
      <c r="S19" s="22"/>
      <c r="T19" s="179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2741</v>
      </c>
      <c r="AM19" s="18">
        <f>SUM(AM4:AM18)</f>
        <v>72</v>
      </c>
      <c r="AN19" s="18">
        <f t="shared" ref="AN19" si="18">AL19/AM19</f>
        <v>38.069444444444443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AO13" sqref="AO13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20" t="s">
        <v>334</v>
      </c>
      <c r="B2" s="306" t="s">
        <v>42</v>
      </c>
      <c r="C2" s="291" t="s">
        <v>43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118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21"/>
      <c r="B3" s="307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/>
      <c r="P4" s="9">
        <f>SUM(C4:O4)</f>
        <v>354</v>
      </c>
      <c r="Q4" s="8">
        <f>COUNTIF(C4:O4,"&gt;0")</f>
        <v>11</v>
      </c>
      <c r="R4" s="8">
        <f>IF(P4=0," ",P4/Q4)</f>
        <v>32.18181818181818</v>
      </c>
      <c r="S4" s="94">
        <f>IF(P4=0," ",P4/(Q4*B4)*100)</f>
        <v>103.81231671554252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354</v>
      </c>
      <c r="AM4" s="123">
        <f t="shared" ref="AM4" si="1">Q4+AI4</f>
        <v>11</v>
      </c>
      <c r="AN4" s="8">
        <f>IF(AL4=0," ",AL4/AM4)</f>
        <v>32.18181818181818</v>
      </c>
      <c r="AO4" s="94">
        <f>IF(AL4=0," ",AL4/(AM4*T4)*100)</f>
        <v>103.81231671554252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/>
      <c r="P5" s="13">
        <f t="shared" ref="P5:P18" si="2">SUM(C5:O5)</f>
        <v>162</v>
      </c>
      <c r="Q5" s="11">
        <f t="shared" ref="Q5:Q18" si="3">COUNTIF(C5:O5,"&gt;0")</f>
        <v>8</v>
      </c>
      <c r="R5" s="11">
        <f t="shared" ref="R5:R18" si="4">IF(P5=0," ",P5/Q5)</f>
        <v>20.25</v>
      </c>
      <c r="S5" s="12">
        <f t="shared" ref="S5:S18" si="5">IF(P5=0," ",P5/(Q5*B5)*100)</f>
        <v>84.375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162</v>
      </c>
      <c r="AM5" s="95">
        <f t="shared" ref="AM5:AM18" si="10">Q5+AI5</f>
        <v>8</v>
      </c>
      <c r="AN5" s="11">
        <f t="shared" ref="AN5:AN18" si="11">IF(AL5=0," ",AL5/AM5)</f>
        <v>20.25</v>
      </c>
      <c r="AO5" s="12">
        <f t="shared" ref="AO5:AO18" si="12">IF(AL5=0," ",AL5/(AM5*T5)*100)</f>
        <v>84.375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/>
      <c r="P6" s="13">
        <f t="shared" si="2"/>
        <v>792</v>
      </c>
      <c r="Q6" s="11">
        <f t="shared" si="3"/>
        <v>11</v>
      </c>
      <c r="R6" s="11">
        <f t="shared" si="4"/>
        <v>72</v>
      </c>
      <c r="S6" s="12">
        <f t="shared" si="5"/>
        <v>105.88235294117648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792</v>
      </c>
      <c r="AM6" s="95">
        <f t="shared" si="10"/>
        <v>11</v>
      </c>
      <c r="AN6" s="11">
        <f t="shared" si="11"/>
        <v>72</v>
      </c>
      <c r="AO6" s="12">
        <f t="shared" si="12"/>
        <v>105.88235294117648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/>
      <c r="P7" s="13">
        <f t="shared" si="2"/>
        <v>178</v>
      </c>
      <c r="Q7" s="11">
        <f t="shared" si="3"/>
        <v>5</v>
      </c>
      <c r="R7" s="11">
        <f t="shared" si="4"/>
        <v>35.6</v>
      </c>
      <c r="S7" s="12">
        <f t="shared" si="5"/>
        <v>101.71428571428571</v>
      </c>
      <c r="T7" s="70">
        <v>35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178</v>
      </c>
      <c r="AM7" s="95">
        <f t="shared" si="10"/>
        <v>5</v>
      </c>
      <c r="AN7" s="11">
        <f t="shared" si="11"/>
        <v>35.6</v>
      </c>
      <c r="AO7" s="12">
        <f t="shared" si="12"/>
        <v>101.71428571428571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/>
      <c r="P8" s="13">
        <f t="shared" si="2"/>
        <v>225</v>
      </c>
      <c r="Q8" s="11">
        <f t="shared" si="3"/>
        <v>7</v>
      </c>
      <c r="R8" s="11">
        <f t="shared" si="4"/>
        <v>32.142857142857146</v>
      </c>
      <c r="S8" s="12">
        <f t="shared" si="5"/>
        <v>91.83673469387756</v>
      </c>
      <c r="T8" s="70">
        <v>35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225</v>
      </c>
      <c r="AM8" s="95">
        <f t="shared" si="10"/>
        <v>7</v>
      </c>
      <c r="AN8" s="11">
        <f t="shared" si="11"/>
        <v>32.142857142857146</v>
      </c>
      <c r="AO8" s="12">
        <f t="shared" si="12"/>
        <v>91.83673469387756</v>
      </c>
    </row>
    <row r="9" spans="1:41" s="10" customFormat="1" ht="20.100000000000001" customHeight="1" x14ac:dyDescent="0.3">
      <c r="A9" s="26" t="s">
        <v>359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360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/>
      <c r="P10" s="13">
        <f t="shared" si="2"/>
        <v>158</v>
      </c>
      <c r="Q10" s="11">
        <f t="shared" si="3"/>
        <v>10</v>
      </c>
      <c r="R10" s="11">
        <f t="shared" si="4"/>
        <v>15.8</v>
      </c>
      <c r="S10" s="12">
        <f t="shared" si="5"/>
        <v>105.33333333333333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158</v>
      </c>
      <c r="AM10" s="95">
        <f t="shared" si="10"/>
        <v>10</v>
      </c>
      <c r="AN10" s="11">
        <f t="shared" si="11"/>
        <v>15.8</v>
      </c>
      <c r="AO10" s="12">
        <f t="shared" si="12"/>
        <v>105.33333333333333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98</v>
      </c>
      <c r="AM12" s="95">
        <f t="shared" si="10"/>
        <v>6</v>
      </c>
      <c r="AN12" s="11">
        <f t="shared" si="11"/>
        <v>16.333333333333332</v>
      </c>
      <c r="AO12" s="12">
        <f t="shared" si="12"/>
        <v>85.964912280701753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183</v>
      </c>
      <c r="AM13" s="95">
        <f t="shared" si="10"/>
        <v>8</v>
      </c>
      <c r="AN13" s="11">
        <f t="shared" si="11"/>
        <v>22.875</v>
      </c>
      <c r="AO13" s="12">
        <f t="shared" si="12"/>
        <v>99.456521739130437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0</v>
      </c>
      <c r="P19" s="19">
        <f t="shared" si="15"/>
        <v>2271</v>
      </c>
      <c r="Q19" s="19">
        <f t="shared" si="15"/>
        <v>72</v>
      </c>
      <c r="R19" s="19">
        <f>P19/Q19</f>
        <v>31.541666666666668</v>
      </c>
      <c r="S19" s="22"/>
      <c r="T19" s="179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2271</v>
      </c>
      <c r="AM19" s="18">
        <f>SUM(AM4:AM18)</f>
        <v>72</v>
      </c>
      <c r="AN19" s="18">
        <f t="shared" ref="AN19" si="18">AL19/AM19</f>
        <v>31.541666666666668</v>
      </c>
      <c r="AO19" s="2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topLeftCell="A2" zoomScale="85" zoomScaleNormal="85" workbookViewId="0">
      <selection activeCell="N13" sqref="N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28</v>
      </c>
      <c r="B2" s="306" t="s">
        <v>42</v>
      </c>
      <c r="C2" s="291" t="s">
        <v>43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128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210</v>
      </c>
      <c r="AM4" s="123">
        <f t="shared" ref="AM4" si="1">Q4+AI4</f>
        <v>7</v>
      </c>
      <c r="AN4" s="8">
        <f>IF(AL4=0," ",AL4/AM4)</f>
        <v>30</v>
      </c>
      <c r="AO4" s="94">
        <f>IF(AL4=0," ",AL4/(AM4*T4)*100)</f>
        <v>125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/>
      <c r="P5" s="13">
        <f t="shared" ref="P5:P18" si="2">SUM(C5:O5)</f>
        <v>113</v>
      </c>
      <c r="Q5" s="11">
        <f t="shared" ref="Q5:Q18" si="3">COUNTIF(C5:O5,"&gt;0")</f>
        <v>4</v>
      </c>
      <c r="R5" s="11">
        <f t="shared" ref="R5:R18" si="4">IF(P5=0," ",P5/Q5)</f>
        <v>28.25</v>
      </c>
      <c r="S5" s="12">
        <f t="shared" ref="S5:S18" si="5">IF(P5=0," ",P5/(Q5*B5)*100)</f>
        <v>104.62962962962963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113</v>
      </c>
      <c r="AM5" s="95">
        <f t="shared" ref="AM5:AM18" si="10">Q5+AI5</f>
        <v>4</v>
      </c>
      <c r="AN5" s="11">
        <f t="shared" ref="AN5:AN18" si="11">IF(AL5=0," ",AL5/AM5)</f>
        <v>28.25</v>
      </c>
      <c r="AO5" s="12">
        <f t="shared" ref="AO5:AO18" si="12">IF(AL5=0," ",AL5/(AM5*T5)*100)</f>
        <v>104.62962962962963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246</v>
      </c>
      <c r="AM7" s="95">
        <f t="shared" si="10"/>
        <v>8</v>
      </c>
      <c r="AN7" s="11">
        <f t="shared" si="11"/>
        <v>30.75</v>
      </c>
      <c r="AO7" s="12">
        <f t="shared" si="12"/>
        <v>106.03448275862068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/>
      <c r="P9" s="13">
        <f t="shared" si="2"/>
        <v>99</v>
      </c>
      <c r="Q9" s="11">
        <f t="shared" si="3"/>
        <v>6</v>
      </c>
      <c r="R9" s="11">
        <f t="shared" si="4"/>
        <v>16.5</v>
      </c>
      <c r="S9" s="12">
        <f t="shared" si="5"/>
        <v>91.666666666666657</v>
      </c>
      <c r="T9" s="70">
        <v>18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99</v>
      </c>
      <c r="AM9" s="95">
        <f t="shared" si="10"/>
        <v>6</v>
      </c>
      <c r="AN9" s="11">
        <f t="shared" si="11"/>
        <v>16.5</v>
      </c>
      <c r="AO9" s="12">
        <f t="shared" si="12"/>
        <v>91.666666666666657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/>
      <c r="P10" s="13">
        <f t="shared" si="2"/>
        <v>100</v>
      </c>
      <c r="Q10" s="11">
        <f t="shared" si="3"/>
        <v>5</v>
      </c>
      <c r="R10" s="11">
        <f t="shared" si="4"/>
        <v>20</v>
      </c>
      <c r="S10" s="12">
        <f t="shared" si="5"/>
        <v>71.428571428571431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100</v>
      </c>
      <c r="AM10" s="95">
        <f t="shared" si="10"/>
        <v>5</v>
      </c>
      <c r="AN10" s="11">
        <f t="shared" si="11"/>
        <v>20</v>
      </c>
      <c r="AO10" s="12">
        <f t="shared" si="12"/>
        <v>71.428571428571431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315</v>
      </c>
      <c r="AM11" s="95">
        <f t="shared" si="10"/>
        <v>5</v>
      </c>
      <c r="AN11" s="11">
        <f t="shared" si="11"/>
        <v>63</v>
      </c>
      <c r="AO11" s="12">
        <f t="shared" si="12"/>
        <v>101.61290322580645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139</v>
      </c>
      <c r="AM12" s="95">
        <f t="shared" si="10"/>
        <v>5</v>
      </c>
      <c r="AN12" s="11">
        <f t="shared" si="11"/>
        <v>27.8</v>
      </c>
      <c r="AO12" s="12">
        <f t="shared" si="12"/>
        <v>111.20000000000002</v>
      </c>
    </row>
    <row r="13" spans="1:41" s="10" customFormat="1" ht="20.100000000000001" customHeight="1" x14ac:dyDescent="0.3">
      <c r="A13" s="26" t="s">
        <v>370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131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127</v>
      </c>
      <c r="AM13" s="95">
        <f t="shared" si="10"/>
        <v>5</v>
      </c>
      <c r="AN13" s="11">
        <f t="shared" si="11"/>
        <v>25.4</v>
      </c>
      <c r="AO13" s="12">
        <f t="shared" si="12"/>
        <v>97.692307692307693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/>
      <c r="P14" s="13">
        <f t="shared" si="2"/>
        <v>151</v>
      </c>
      <c r="Q14" s="11">
        <f t="shared" si="3"/>
        <v>6</v>
      </c>
      <c r="R14" s="11">
        <f t="shared" si="4"/>
        <v>25.166666666666668</v>
      </c>
      <c r="S14" s="12">
        <f t="shared" si="5"/>
        <v>74.019607843137265</v>
      </c>
      <c r="T14" s="70">
        <v>34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151</v>
      </c>
      <c r="AM14" s="95">
        <f t="shared" si="10"/>
        <v>6</v>
      </c>
      <c r="AN14" s="11">
        <f t="shared" si="11"/>
        <v>25.166666666666668</v>
      </c>
      <c r="AO14" s="12">
        <f t="shared" si="12"/>
        <v>74.019607843137265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/>
      <c r="P15" s="13">
        <f t="shared" si="2"/>
        <v>109</v>
      </c>
      <c r="Q15" s="11">
        <f t="shared" si="3"/>
        <v>6</v>
      </c>
      <c r="R15" s="11">
        <f t="shared" si="4"/>
        <v>18.166666666666668</v>
      </c>
      <c r="S15" s="12">
        <f t="shared" si="5"/>
        <v>106.86274509803921</v>
      </c>
      <c r="T15" s="70">
        <v>17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109</v>
      </c>
      <c r="AM15" s="95">
        <f t="shared" si="10"/>
        <v>6</v>
      </c>
      <c r="AN15" s="11">
        <f t="shared" si="11"/>
        <v>18.166666666666668</v>
      </c>
      <c r="AO15" s="12">
        <f t="shared" si="12"/>
        <v>106.86274509803921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/>
      <c r="P17" s="13">
        <f t="shared" si="2"/>
        <v>219</v>
      </c>
      <c r="Q17" s="11">
        <f t="shared" si="3"/>
        <v>5</v>
      </c>
      <c r="R17" s="11">
        <f t="shared" si="4"/>
        <v>43.8</v>
      </c>
      <c r="S17" s="12">
        <f t="shared" si="5"/>
        <v>118.37837837837837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219</v>
      </c>
      <c r="AM17" s="95">
        <f t="shared" si="10"/>
        <v>5</v>
      </c>
      <c r="AN17" s="11">
        <f t="shared" si="11"/>
        <v>43.8</v>
      </c>
      <c r="AO17" s="12">
        <f t="shared" si="12"/>
        <v>118.37837837837837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0</v>
      </c>
      <c r="P19" s="19">
        <f t="shared" si="13"/>
        <v>2194</v>
      </c>
      <c r="Q19" s="19">
        <f>SUM(Q4:Q15)</f>
        <v>64</v>
      </c>
      <c r="R19" s="19">
        <f>P19/Q19</f>
        <v>34.28125</v>
      </c>
      <c r="S19" s="22"/>
      <c r="T19" s="179">
        <f>SUM(T4:T18)</f>
        <v>456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2194</v>
      </c>
      <c r="AM19" s="18">
        <f>SUM(AM4:AM18)</f>
        <v>72</v>
      </c>
      <c r="AN19" s="18">
        <f t="shared" ref="AN19" si="16">AL19/AM19</f>
        <v>30.472222222222221</v>
      </c>
      <c r="AO19" s="20"/>
    </row>
    <row r="24" spans="1:41" x14ac:dyDescent="0.3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A2" zoomScale="115" zoomScaleNormal="115" workbookViewId="0">
      <selection activeCell="N10" sqref="N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5" ht="121.5" customHeight="1" thickBot="1" x14ac:dyDescent="0.35">
      <c r="A2" s="320" t="s">
        <v>142</v>
      </c>
      <c r="B2" s="306" t="s">
        <v>42</v>
      </c>
      <c r="C2" s="291" t="s">
        <v>98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99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5" ht="15" customHeight="1" thickBot="1" x14ac:dyDescent="0.35">
      <c r="A3" s="321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/>
      <c r="P4" s="9">
        <f>SUM(C4:O4)</f>
        <v>340</v>
      </c>
      <c r="Q4" s="8">
        <f>COUNTIF(C4:O4,"&gt;0")</f>
        <v>8</v>
      </c>
      <c r="R4" s="8">
        <f>IF(P4=0," ",P4/Q4)</f>
        <v>42.5</v>
      </c>
      <c r="S4" s="94">
        <f>IF(P4=0," ",P4/(Q4*B4)*100)</f>
        <v>111.8421052631579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340</v>
      </c>
      <c r="AM4" s="123">
        <f t="shared" ref="AM4" si="1">Q4+AI4</f>
        <v>8</v>
      </c>
      <c r="AN4" s="8">
        <f>IF(AL4=0," ",AL4/AM4)</f>
        <v>42.5</v>
      </c>
      <c r="AO4" s="94">
        <f>IF(AL4=0," ",AL4/(AM4*T4)*100)</f>
        <v>111.8421052631579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/>
      <c r="P5" s="13">
        <f t="shared" ref="P5:P18" si="2">SUM(C5:O5)</f>
        <v>105</v>
      </c>
      <c r="Q5" s="11">
        <f t="shared" ref="Q5:Q18" si="3">COUNTIF(C5:O5,"&gt;0")</f>
        <v>6</v>
      </c>
      <c r="R5" s="11">
        <f t="shared" ref="R5:R18" si="4">IF(P5=0," ",P5/Q5)</f>
        <v>17.5</v>
      </c>
      <c r="S5" s="12">
        <f t="shared" ref="S5:S18" si="5">IF(P5=0," ",P5/(Q5*B5)*100)</f>
        <v>87.5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105</v>
      </c>
      <c r="AM5" s="95">
        <f t="shared" ref="AM5:AM18" si="10">Q5+AI5</f>
        <v>6</v>
      </c>
      <c r="AN5" s="11">
        <f t="shared" ref="AN5:AN18" si="11">IF(AL5=0," ",AL5/AM5)</f>
        <v>17.5</v>
      </c>
      <c r="AO5" s="12">
        <f t="shared" ref="AO5:AO18" si="12">IF(AL5=0," ",AL5/(AM5*T5)*100)</f>
        <v>87.5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9</v>
      </c>
      <c r="AN6" s="11">
        <f t="shared" si="11"/>
        <v>12.111111111111111</v>
      </c>
      <c r="AO6" s="12">
        <f t="shared" si="12"/>
        <v>80.740740740740748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738</v>
      </c>
      <c r="AM7" s="95">
        <f t="shared" si="10"/>
        <v>10</v>
      </c>
      <c r="AN7" s="11">
        <f t="shared" si="11"/>
        <v>73.8</v>
      </c>
      <c r="AO7" s="12">
        <f t="shared" si="12"/>
        <v>93.417721518987335</v>
      </c>
    </row>
    <row r="8" spans="1:45" s="10" customFormat="1" ht="20.100000000000001" customHeight="1" x14ac:dyDescent="0.3">
      <c r="A8" s="26" t="s">
        <v>312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/>
      <c r="P9" s="13">
        <f t="shared" si="2"/>
        <v>457</v>
      </c>
      <c r="Q9" s="11">
        <f t="shared" si="3"/>
        <v>10</v>
      </c>
      <c r="R9" s="11">
        <f t="shared" si="4"/>
        <v>45.7</v>
      </c>
      <c r="S9" s="12">
        <f t="shared" si="5"/>
        <v>123.51351351351352</v>
      </c>
      <c r="T9" s="70">
        <v>37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457</v>
      </c>
      <c r="AM9" s="95">
        <f t="shared" si="10"/>
        <v>10</v>
      </c>
      <c r="AN9" s="11">
        <f t="shared" si="11"/>
        <v>45.7</v>
      </c>
      <c r="AO9" s="224">
        <f t="shared" si="12"/>
        <v>123.51351351351352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146</v>
      </c>
      <c r="AM10" s="95">
        <f t="shared" si="10"/>
        <v>6</v>
      </c>
      <c r="AN10" s="11">
        <f t="shared" si="11"/>
        <v>24.333333333333332</v>
      </c>
      <c r="AO10" s="12">
        <f t="shared" si="12"/>
        <v>121.66666666666666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/>
      <c r="P13" s="13">
        <f t="shared" si="2"/>
        <v>195</v>
      </c>
      <c r="Q13" s="11">
        <f t="shared" si="3"/>
        <v>7</v>
      </c>
      <c r="R13" s="11">
        <f t="shared" si="4"/>
        <v>27.857142857142858</v>
      </c>
      <c r="S13" s="12">
        <f t="shared" si="5"/>
        <v>116.07142857142858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195</v>
      </c>
      <c r="AM13" s="95">
        <f t="shared" si="10"/>
        <v>7</v>
      </c>
      <c r="AN13" s="11">
        <f t="shared" si="11"/>
        <v>27.857142857142858</v>
      </c>
      <c r="AO13" s="12">
        <f t="shared" si="12"/>
        <v>116.07142857142858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/>
      <c r="P14" s="13">
        <f t="shared" si="2"/>
        <v>91</v>
      </c>
      <c r="Q14" s="11">
        <f t="shared" si="3"/>
        <v>4</v>
      </c>
      <c r="R14" s="11">
        <f t="shared" si="4"/>
        <v>22.75</v>
      </c>
      <c r="S14" s="12">
        <f t="shared" si="5"/>
        <v>103.40909090909092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91</v>
      </c>
      <c r="AM14" s="95">
        <f t="shared" si="10"/>
        <v>4</v>
      </c>
      <c r="AN14" s="11">
        <f t="shared" si="11"/>
        <v>22.75</v>
      </c>
      <c r="AO14" s="12">
        <f t="shared" si="12"/>
        <v>103.40909090909092</v>
      </c>
    </row>
    <row r="15" spans="1:45" s="10" customFormat="1" ht="20.100000000000001" customHeight="1" x14ac:dyDescent="0.3">
      <c r="A15" s="26" t="s">
        <v>313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/>
      <c r="P15" s="13">
        <f t="shared" si="2"/>
        <v>135</v>
      </c>
      <c r="Q15" s="11">
        <f t="shared" si="3"/>
        <v>6</v>
      </c>
      <c r="R15" s="11">
        <f t="shared" si="4"/>
        <v>22.5</v>
      </c>
      <c r="S15" s="12">
        <f t="shared" si="5"/>
        <v>97.826086956521735</v>
      </c>
      <c r="T15" s="70">
        <v>23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135</v>
      </c>
      <c r="AM15" s="95">
        <f t="shared" si="10"/>
        <v>6</v>
      </c>
      <c r="AN15" s="11">
        <f t="shared" si="11"/>
        <v>22.5</v>
      </c>
      <c r="AO15" s="12">
        <f t="shared" si="12"/>
        <v>97.826086956521735</v>
      </c>
    </row>
    <row r="16" spans="1:45" s="10" customFormat="1" ht="20.100000000000001" customHeight="1" x14ac:dyDescent="0.3">
      <c r="A16" s="26" t="s">
        <v>127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0</v>
      </c>
      <c r="P19" s="19">
        <f t="shared" si="14"/>
        <v>2480</v>
      </c>
      <c r="Q19" s="19">
        <f t="shared" si="14"/>
        <v>72</v>
      </c>
      <c r="R19" s="19">
        <f>P19/Q19</f>
        <v>34.444444444444443</v>
      </c>
      <c r="S19" s="22"/>
      <c r="T19" s="179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2480</v>
      </c>
      <c r="AM19" s="18">
        <f>SUM(AM4:AM15)</f>
        <v>72</v>
      </c>
      <c r="AN19" s="18">
        <f t="shared" ref="AN19" si="17">AL19/AM19</f>
        <v>34.444444444444443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topLeftCell="A2" zoomScale="115" zoomScaleNormal="115" workbookViewId="0">
      <selection activeCell="N14" sqref="N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30</v>
      </c>
      <c r="B2" s="306" t="s">
        <v>42</v>
      </c>
      <c r="C2" s="291" t="s">
        <v>153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77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180</v>
      </c>
      <c r="AM4" s="123">
        <f t="shared" ref="AM4" si="2">Q4+AI4</f>
        <v>9</v>
      </c>
      <c r="AN4" s="8">
        <f>IF(AL4=0," ",AL4/AM4)</f>
        <v>20</v>
      </c>
      <c r="AO4" s="94">
        <f>IF(AL4=0," ",AL4/(AM4*T4)*100)</f>
        <v>105.26315789473684</v>
      </c>
    </row>
    <row r="5" spans="1:41" s="10" customFormat="1" ht="20.100000000000001" customHeight="1" x14ac:dyDescent="0.3">
      <c r="A5" s="26" t="s">
        <v>314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144</v>
      </c>
      <c r="AM5" s="95">
        <f t="shared" ref="AM5:AM18" si="11">Q5+AI5</f>
        <v>10</v>
      </c>
      <c r="AN5" s="11">
        <f t="shared" ref="AN5:AN18" si="12">IF(AL5=0," ",AL5/AM5)</f>
        <v>14.4</v>
      </c>
      <c r="AO5" s="12">
        <f t="shared" ref="AO5:AO18" si="13">IF(AL5=0," ",AL5/(AM5*T5)*100)</f>
        <v>80</v>
      </c>
    </row>
    <row r="6" spans="1:41" s="10" customFormat="1" ht="20.100000000000001" customHeight="1" x14ac:dyDescent="0.3">
      <c r="A6" s="69" t="s">
        <v>363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332</v>
      </c>
      <c r="AM6" s="95">
        <f t="shared" si="11"/>
        <v>6</v>
      </c>
      <c r="AN6" s="11">
        <f t="shared" si="12"/>
        <v>55.333333333333336</v>
      </c>
      <c r="AO6" s="12">
        <f t="shared" si="13"/>
        <v>81.372549019607845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/>
      <c r="P7" s="13">
        <f t="shared" si="3"/>
        <v>165</v>
      </c>
      <c r="Q7" s="11">
        <f t="shared" si="4"/>
        <v>6</v>
      </c>
      <c r="R7" s="11">
        <f t="shared" si="5"/>
        <v>27.5</v>
      </c>
      <c r="S7" s="12">
        <f t="shared" si="6"/>
        <v>114.58333333333333</v>
      </c>
      <c r="T7" s="70">
        <v>24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165</v>
      </c>
      <c r="AM7" s="95">
        <f t="shared" si="11"/>
        <v>6</v>
      </c>
      <c r="AN7" s="11">
        <f t="shared" si="12"/>
        <v>27.5</v>
      </c>
      <c r="AO7" s="12">
        <f t="shared" si="13"/>
        <v>114.58333333333333</v>
      </c>
    </row>
    <row r="8" spans="1:41" s="10" customFormat="1" ht="20.100000000000001" customHeight="1" x14ac:dyDescent="0.3">
      <c r="A8" s="26" t="s">
        <v>315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/>
      <c r="P8" s="13">
        <f t="shared" si="3"/>
        <v>173</v>
      </c>
      <c r="Q8" s="11">
        <f t="shared" si="4"/>
        <v>6</v>
      </c>
      <c r="R8" s="11">
        <f t="shared" si="5"/>
        <v>28.833333333333332</v>
      </c>
      <c r="S8" s="12">
        <f t="shared" si="6"/>
        <v>87.37373737373737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173</v>
      </c>
      <c r="AM8" s="95">
        <f t="shared" si="11"/>
        <v>6</v>
      </c>
      <c r="AN8" s="11">
        <f t="shared" si="12"/>
        <v>28.833333333333332</v>
      </c>
      <c r="AO8" s="12">
        <f t="shared" si="13"/>
        <v>87.37373737373737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/>
      <c r="P9" s="13">
        <f t="shared" si="3"/>
        <v>164</v>
      </c>
      <c r="Q9" s="11">
        <f t="shared" si="4"/>
        <v>8</v>
      </c>
      <c r="R9" s="11">
        <f t="shared" si="5"/>
        <v>20.5</v>
      </c>
      <c r="S9" s="12">
        <f t="shared" si="6"/>
        <v>97.61904761904762</v>
      </c>
      <c r="T9" s="70">
        <v>21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164</v>
      </c>
      <c r="AM9" s="95">
        <f t="shared" si="11"/>
        <v>8</v>
      </c>
      <c r="AN9" s="11">
        <f t="shared" si="12"/>
        <v>20.5</v>
      </c>
      <c r="AO9" s="12">
        <f t="shared" si="13"/>
        <v>97.61904761904762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/>
      <c r="P11" s="13">
        <f t="shared" si="3"/>
        <v>139</v>
      </c>
      <c r="Q11" s="11">
        <f t="shared" si="4"/>
        <v>7</v>
      </c>
      <c r="R11" s="11">
        <f t="shared" si="5"/>
        <v>19.857142857142858</v>
      </c>
      <c r="S11" s="12">
        <f t="shared" si="6"/>
        <v>73.544973544973544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139</v>
      </c>
      <c r="AM11" s="95">
        <f t="shared" si="11"/>
        <v>7</v>
      </c>
      <c r="AN11" s="11">
        <f t="shared" si="12"/>
        <v>19.857142857142858</v>
      </c>
      <c r="AO11" s="12">
        <f t="shared" si="13"/>
        <v>73.544973544973544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/>
      <c r="P12" s="13">
        <f t="shared" si="3"/>
        <v>307</v>
      </c>
      <c r="Q12" s="11">
        <f t="shared" si="4"/>
        <v>10</v>
      </c>
      <c r="R12" s="11">
        <f t="shared" si="5"/>
        <v>30.7</v>
      </c>
      <c r="S12" s="12">
        <f t="shared" si="6"/>
        <v>90.294117647058826</v>
      </c>
      <c r="T12" s="70">
        <v>34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307</v>
      </c>
      <c r="AM12" s="95">
        <f t="shared" si="11"/>
        <v>10</v>
      </c>
      <c r="AN12" s="11">
        <f t="shared" si="12"/>
        <v>30.7</v>
      </c>
      <c r="AO12" s="12">
        <f t="shared" si="13"/>
        <v>90.294117647058826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/>
      <c r="P13" s="13">
        <f t="shared" si="3"/>
        <v>230</v>
      </c>
      <c r="Q13" s="11">
        <f t="shared" si="4"/>
        <v>8</v>
      </c>
      <c r="R13" s="11">
        <f t="shared" si="5"/>
        <v>28.75</v>
      </c>
      <c r="S13" s="12">
        <f t="shared" si="6"/>
        <v>82.142857142857139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230</v>
      </c>
      <c r="AM13" s="95">
        <f t="shared" si="11"/>
        <v>8</v>
      </c>
      <c r="AN13" s="11">
        <f t="shared" si="12"/>
        <v>28.75</v>
      </c>
      <c r="AO13" s="12">
        <f t="shared" si="13"/>
        <v>82.142857142857139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0</v>
      </c>
      <c r="P19" s="19">
        <f>SUM(P4:P18)</f>
        <v>1900</v>
      </c>
      <c r="Q19" s="19">
        <f>SUM(Q4:Q18)</f>
        <v>72</v>
      </c>
      <c r="R19" s="19">
        <f>SUM(R4:R18)</f>
        <v>278.87380952380954</v>
      </c>
      <c r="S19" s="22"/>
      <c r="T19" s="179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1900</v>
      </c>
      <c r="AM19" s="18">
        <f>SUM(AM4:AM18)</f>
        <v>72</v>
      </c>
      <c r="AN19" s="18">
        <f t="shared" ref="AN19" si="18">AL19/AM19</f>
        <v>26.388888888888889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N5" sqref="N5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73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31</v>
      </c>
      <c r="B2" s="306" t="s">
        <v>42</v>
      </c>
      <c r="C2" s="291" t="s">
        <v>43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161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7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298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/>
      <c r="P4" s="9">
        <f>SUM(C4:O4)</f>
        <v>70</v>
      </c>
      <c r="Q4" s="8">
        <f>COUNTIF(C4:O4,"&gt;0")</f>
        <v>4</v>
      </c>
      <c r="R4" s="8">
        <f>IF(P4=0," ",P4/Q4)</f>
        <v>17.5</v>
      </c>
      <c r="S4" s="94">
        <f t="shared" ref="S4" si="0">IF(P4=0," ",P4/(Q4*T4)*100)</f>
        <v>116.66666666666667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70</v>
      </c>
      <c r="AM4" s="123">
        <f>Q4+AI4</f>
        <v>4</v>
      </c>
      <c r="AN4" s="8">
        <f>IF(AL4=0," ",AL4/AM4)</f>
        <v>17.5</v>
      </c>
      <c r="AO4" s="94">
        <f>IF(AL4=0," ",AL4/(AM4*T4)*100)</f>
        <v>116.66666666666667</v>
      </c>
    </row>
    <row r="5" spans="1:41" s="10" customFormat="1" ht="20.100000000000001" customHeight="1" x14ac:dyDescent="0.3">
      <c r="A5" s="26" t="s">
        <v>299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/>
      <c r="P5" s="13">
        <f t="shared" ref="P5:P18" si="1">SUM(C5:O5)</f>
        <v>327</v>
      </c>
      <c r="Q5" s="11">
        <f t="shared" ref="Q5:Q18" si="2">COUNTIF(C5:O5,"&gt;0")</f>
        <v>6</v>
      </c>
      <c r="R5" s="11">
        <f t="shared" ref="R5:R18" si="3">IF(P5=0," ",P5/Q5)</f>
        <v>54.5</v>
      </c>
      <c r="S5" s="12">
        <f t="shared" ref="S5:S18" si="4">IF(P5=0," ",P5/(Q5*T5)*100)</f>
        <v>92.372881355932208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327</v>
      </c>
      <c r="AM5" s="95">
        <f t="shared" ref="AM5:AM18" si="9">Q5+AI5</f>
        <v>6</v>
      </c>
      <c r="AN5" s="11">
        <f t="shared" ref="AN5:AN18" si="10">IF(AL5=0," ",AL5/AM5)</f>
        <v>54.5</v>
      </c>
      <c r="AO5" s="12">
        <f t="shared" ref="AO5:AO18" si="11">IF(AL5=0," ",AL5/(AM5*T5)*100)</f>
        <v>92.372881355932208</v>
      </c>
    </row>
    <row r="6" spans="1:41" s="10" customFormat="1" ht="20.100000000000001" customHeight="1" x14ac:dyDescent="0.3">
      <c r="A6" s="26" t="s">
        <v>300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297</v>
      </c>
      <c r="AM6" s="95">
        <f t="shared" si="9"/>
        <v>9</v>
      </c>
      <c r="AN6" s="11">
        <f t="shared" si="10"/>
        <v>33</v>
      </c>
      <c r="AO6" s="12">
        <f t="shared" si="11"/>
        <v>132</v>
      </c>
    </row>
    <row r="7" spans="1:41" s="10" customFormat="1" ht="20.100000000000001" customHeight="1" x14ac:dyDescent="0.3">
      <c r="A7" s="26" t="s">
        <v>301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262</v>
      </c>
      <c r="AM7" s="95">
        <f t="shared" si="9"/>
        <v>8</v>
      </c>
      <c r="AN7" s="11">
        <f t="shared" si="10"/>
        <v>32.75</v>
      </c>
      <c r="AO7" s="12">
        <f t="shared" si="11"/>
        <v>105.64516129032258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/>
      <c r="P8" s="13">
        <f t="shared" si="1"/>
        <v>267</v>
      </c>
      <c r="Q8" s="11">
        <f t="shared" si="2"/>
        <v>6</v>
      </c>
      <c r="R8" s="11">
        <f t="shared" si="3"/>
        <v>44.5</v>
      </c>
      <c r="S8" s="12">
        <f t="shared" si="4"/>
        <v>111.25</v>
      </c>
      <c r="T8" s="70">
        <v>40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267</v>
      </c>
      <c r="AM8" s="95">
        <f t="shared" si="9"/>
        <v>6</v>
      </c>
      <c r="AN8" s="11">
        <f t="shared" si="10"/>
        <v>44.5</v>
      </c>
      <c r="AO8" s="12">
        <f t="shared" si="11"/>
        <v>111.25</v>
      </c>
    </row>
    <row r="9" spans="1:41" s="10" customFormat="1" ht="20.100000000000001" customHeight="1" x14ac:dyDescent="0.3">
      <c r="A9" s="26" t="s">
        <v>302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/>
      <c r="P10" s="13">
        <f t="shared" si="1"/>
        <v>242</v>
      </c>
      <c r="Q10" s="11">
        <f t="shared" si="2"/>
        <v>7</v>
      </c>
      <c r="R10" s="11">
        <f t="shared" si="3"/>
        <v>34.571428571428569</v>
      </c>
      <c r="S10" s="12">
        <f t="shared" si="4"/>
        <v>98.775510204081627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242</v>
      </c>
      <c r="AM10" s="95">
        <f t="shared" si="9"/>
        <v>7</v>
      </c>
      <c r="AN10" s="11">
        <f t="shared" si="10"/>
        <v>34.571428571428569</v>
      </c>
      <c r="AO10" s="12">
        <f t="shared" si="11"/>
        <v>98.775510204081627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/>
      <c r="P11" s="13">
        <f t="shared" si="1"/>
        <v>73</v>
      </c>
      <c r="Q11" s="11">
        <f t="shared" si="2"/>
        <v>6</v>
      </c>
      <c r="R11" s="11">
        <f t="shared" si="3"/>
        <v>12.166666666666666</v>
      </c>
      <c r="S11" s="12">
        <f t="shared" si="4"/>
        <v>81.111111111111114</v>
      </c>
      <c r="T11" s="70">
        <v>15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73</v>
      </c>
      <c r="AM11" s="95">
        <f t="shared" si="9"/>
        <v>6</v>
      </c>
      <c r="AN11" s="11">
        <f t="shared" si="10"/>
        <v>12.166666666666666</v>
      </c>
      <c r="AO11" s="12">
        <f t="shared" si="11"/>
        <v>81.111111111111114</v>
      </c>
    </row>
    <row r="12" spans="1:41" s="10" customFormat="1" ht="20.100000000000001" customHeight="1" x14ac:dyDescent="0.3">
      <c r="A12" s="26" t="s">
        <v>303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293</v>
      </c>
      <c r="AM12" s="95">
        <f t="shared" si="9"/>
        <v>7</v>
      </c>
      <c r="AN12" s="11">
        <f t="shared" si="10"/>
        <v>41.857142857142854</v>
      </c>
      <c r="AO12" s="12">
        <f t="shared" si="11"/>
        <v>110.15037593984962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202</v>
      </c>
      <c r="AM13" s="95">
        <f t="shared" si="9"/>
        <v>8</v>
      </c>
      <c r="AN13" s="11">
        <f t="shared" si="10"/>
        <v>25.25</v>
      </c>
      <c r="AO13" s="12">
        <f t="shared" si="11"/>
        <v>105.20833333333333</v>
      </c>
    </row>
    <row r="14" spans="1:41" s="10" customFormat="1" ht="20.100000000000001" customHeight="1" x14ac:dyDescent="0.3">
      <c r="A14" s="26" t="s">
        <v>361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/>
      <c r="P14" s="13">
        <f t="shared" si="1"/>
        <v>56</v>
      </c>
      <c r="Q14" s="11">
        <f t="shared" si="2"/>
        <v>6</v>
      </c>
      <c r="R14" s="11">
        <f t="shared" si="3"/>
        <v>9.3333333333333339</v>
      </c>
      <c r="S14" s="12">
        <f t="shared" si="4"/>
        <v>62.222222222222221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56</v>
      </c>
      <c r="AM14" s="95">
        <f t="shared" si="9"/>
        <v>6</v>
      </c>
      <c r="AN14" s="11">
        <f t="shared" si="10"/>
        <v>9.3333333333333339</v>
      </c>
      <c r="AO14" s="12">
        <f t="shared" si="11"/>
        <v>62.222222222222221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0</v>
      </c>
      <c r="P19" s="19">
        <f t="shared" si="13"/>
        <v>2210</v>
      </c>
      <c r="Q19" s="19">
        <f t="shared" si="13"/>
        <v>72</v>
      </c>
      <c r="R19" s="19">
        <f>P19/Q19</f>
        <v>30.694444444444443</v>
      </c>
      <c r="S19" s="22"/>
      <c r="T19" s="179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2210</v>
      </c>
      <c r="AM19" s="18">
        <f>SUM(AM4:AM18)</f>
        <v>72</v>
      </c>
      <c r="AN19" s="18">
        <f t="shared" ref="AN19" si="16">AL19/AM19</f>
        <v>30.694444444444443</v>
      </c>
      <c r="AO19" s="20"/>
    </row>
  </sheetData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topLeftCell="A2" zoomScaleNormal="100" workbookViewId="0">
      <selection activeCell="N8" sqref="N8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1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33</v>
      </c>
      <c r="B2" s="306" t="s">
        <v>42</v>
      </c>
      <c r="C2" s="291" t="s">
        <v>166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128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6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95"/>
      <c r="AI3" s="297"/>
      <c r="AJ3" s="297"/>
      <c r="AK3" s="76"/>
      <c r="AL3" s="295"/>
      <c r="AM3" s="297"/>
      <c r="AN3" s="297"/>
      <c r="AO3" s="299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51</v>
      </c>
      <c r="AM4" s="123">
        <f t="shared" si="1"/>
        <v>4</v>
      </c>
      <c r="AN4" s="8">
        <f>IF(AL4=0," ",AL4/AM4)</f>
        <v>12.75</v>
      </c>
      <c r="AO4" s="94">
        <f>IF(AL4=0," ",AL4/(AM4*T4)*100)</f>
        <v>75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/>
      <c r="P5" s="13">
        <f t="shared" ref="P5:P18" si="2">SUM(C5:O5)</f>
        <v>213</v>
      </c>
      <c r="Q5" s="11">
        <f t="shared" ref="Q5:Q18" si="3">COUNTIF(C5:O5,"&gt;0")</f>
        <v>6</v>
      </c>
      <c r="R5" s="11">
        <f t="shared" ref="R5:R18" si="4">IF(P5=0," ",P5/Q5)</f>
        <v>35.5</v>
      </c>
      <c r="S5" s="12">
        <f t="shared" ref="S5:S18" si="5">IF(P5=0," ",P5/(Q5*T5)*100)</f>
        <v>93.421052631578945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213</v>
      </c>
      <c r="AM5" s="95">
        <f t="shared" ref="AM5:AM18" si="10">Q5+AI5</f>
        <v>6</v>
      </c>
      <c r="AN5" s="11">
        <f t="shared" ref="AN5:AN18" si="11">IF(AL5=0," ",AL5/AM5)</f>
        <v>35.5</v>
      </c>
      <c r="AO5" s="12">
        <f t="shared" ref="AO5:AO18" si="12">IF(AL5=0," ",AL5/(AM5*T5)*100)</f>
        <v>93.421052631578945</v>
      </c>
    </row>
    <row r="6" spans="1:41" ht="20.100000000000001" customHeight="1" x14ac:dyDescent="0.3">
      <c r="A6" s="26" t="s">
        <v>342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/>
      <c r="P6" s="13">
        <f t="shared" si="2"/>
        <v>471</v>
      </c>
      <c r="Q6" s="11">
        <f t="shared" si="3"/>
        <v>8</v>
      </c>
      <c r="R6" s="11">
        <f t="shared" si="4"/>
        <v>58.875</v>
      </c>
      <c r="S6" s="12">
        <f t="shared" si="5"/>
        <v>109.02777777777777</v>
      </c>
      <c r="T6" s="131">
        <v>54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471</v>
      </c>
      <c r="AM6" s="95">
        <f t="shared" si="10"/>
        <v>8</v>
      </c>
      <c r="AN6" s="11">
        <f t="shared" si="11"/>
        <v>58.875</v>
      </c>
      <c r="AO6" s="12">
        <f t="shared" si="12"/>
        <v>109.02777777777777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222</v>
      </c>
      <c r="AM8" s="95">
        <f t="shared" si="10"/>
        <v>7</v>
      </c>
      <c r="AN8" s="11">
        <f t="shared" si="11"/>
        <v>31.714285714285715</v>
      </c>
      <c r="AO8" s="12">
        <f t="shared" si="12"/>
        <v>99.107142857142861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101</v>
      </c>
      <c r="AM9" s="95">
        <f t="shared" si="10"/>
        <v>4</v>
      </c>
      <c r="AN9" s="11">
        <f t="shared" si="11"/>
        <v>25.25</v>
      </c>
      <c r="AO9" s="12">
        <f t="shared" si="12"/>
        <v>132.89473684210526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/>
      <c r="P10" s="13">
        <f t="shared" si="2"/>
        <v>68</v>
      </c>
      <c r="Q10" s="11">
        <f t="shared" si="3"/>
        <v>3</v>
      </c>
      <c r="R10" s="11">
        <f t="shared" si="4"/>
        <v>22.666666666666668</v>
      </c>
      <c r="S10" s="12">
        <f t="shared" si="5"/>
        <v>107.93650793650794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68</v>
      </c>
      <c r="AM10" s="95">
        <f t="shared" si="10"/>
        <v>3</v>
      </c>
      <c r="AN10" s="11">
        <f t="shared" si="11"/>
        <v>22.666666666666668</v>
      </c>
      <c r="AO10" s="12">
        <f t="shared" si="12"/>
        <v>107.93650793650794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/>
      <c r="P11" s="13">
        <f t="shared" si="2"/>
        <v>164</v>
      </c>
      <c r="Q11" s="11">
        <f t="shared" si="3"/>
        <v>5</v>
      </c>
      <c r="R11" s="11">
        <f t="shared" si="4"/>
        <v>32.799999999999997</v>
      </c>
      <c r="S11" s="12">
        <f t="shared" si="5"/>
        <v>136.66666666666666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5</v>
      </c>
      <c r="AN11" s="11">
        <f t="shared" si="11"/>
        <v>32.799999999999997</v>
      </c>
      <c r="AO11" s="12">
        <f t="shared" si="12"/>
        <v>136.66666666666666</v>
      </c>
    </row>
    <row r="12" spans="1:41" ht="20.100000000000001" customHeight="1" x14ac:dyDescent="0.3">
      <c r="A12" s="26" t="s">
        <v>316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244</v>
      </c>
      <c r="AM12" s="95">
        <f t="shared" si="10"/>
        <v>7</v>
      </c>
      <c r="AN12" s="11">
        <f t="shared" si="11"/>
        <v>34.857142857142854</v>
      </c>
      <c r="AO12" s="12">
        <f t="shared" si="12"/>
        <v>91.729323308270665</v>
      </c>
    </row>
    <row r="13" spans="1:41" ht="20.100000000000001" customHeight="1" x14ac:dyDescent="0.3">
      <c r="A13" s="26" t="s">
        <v>317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/>
      <c r="P13" s="13">
        <f t="shared" si="2"/>
        <v>521</v>
      </c>
      <c r="Q13" s="11">
        <f t="shared" si="3"/>
        <v>6</v>
      </c>
      <c r="R13" s="11">
        <f t="shared" si="4"/>
        <v>86.833333333333329</v>
      </c>
      <c r="S13" s="12">
        <f t="shared" si="5"/>
        <v>98.674242424242422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521</v>
      </c>
      <c r="AM13" s="95">
        <f t="shared" si="10"/>
        <v>6</v>
      </c>
      <c r="AN13" s="11">
        <f t="shared" si="11"/>
        <v>86.833333333333329</v>
      </c>
      <c r="AO13" s="12">
        <f t="shared" si="12"/>
        <v>98.674242424242422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/>
      <c r="P15" s="13">
        <f t="shared" si="2"/>
        <v>166</v>
      </c>
      <c r="Q15" s="11">
        <f t="shared" si="3"/>
        <v>8</v>
      </c>
      <c r="R15" s="11">
        <f t="shared" si="4"/>
        <v>20.75</v>
      </c>
      <c r="S15" s="12">
        <f t="shared" si="5"/>
        <v>98.80952380952381</v>
      </c>
      <c r="T15" s="70">
        <v>21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166</v>
      </c>
      <c r="AM15" s="95">
        <f t="shared" si="10"/>
        <v>8</v>
      </c>
      <c r="AN15" s="11">
        <f t="shared" si="11"/>
        <v>20.75</v>
      </c>
      <c r="AO15" s="12">
        <f t="shared" si="12"/>
        <v>98.80952380952381</v>
      </c>
    </row>
    <row r="16" spans="1:41" ht="20.100000000000001" customHeight="1" x14ac:dyDescent="0.3">
      <c r="A16" s="26" t="s">
        <v>358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131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50</v>
      </c>
      <c r="AM16" s="95">
        <f t="shared" si="10"/>
        <v>4</v>
      </c>
      <c r="AN16" s="11">
        <f t="shared" si="11"/>
        <v>12.5</v>
      </c>
      <c r="AO16" s="12">
        <f t="shared" si="12"/>
        <v>83.333333333333343</v>
      </c>
    </row>
    <row r="17" spans="1:41" ht="20.100000000000001" customHeight="1" x14ac:dyDescent="0.3">
      <c r="A17" s="26">
        <v>0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>SUM(O4:O18)</f>
        <v>0</v>
      </c>
      <c r="P19" s="19">
        <f>SUM(P4:P18)</f>
        <v>2491</v>
      </c>
      <c r="Q19" s="19">
        <f>SUM(Q4:Q18)</f>
        <v>72</v>
      </c>
      <c r="R19" s="19">
        <f>P19/Q19</f>
        <v>34.597222222222221</v>
      </c>
      <c r="S19" s="22"/>
      <c r="T19" s="179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2491</v>
      </c>
      <c r="AM19" s="18">
        <f>SUM(AM4:AM18)</f>
        <v>72</v>
      </c>
      <c r="AN19" s="18">
        <f t="shared" ref="AN19" si="16">AL19/AM19</f>
        <v>34.597222222222221</v>
      </c>
      <c r="AO19" s="2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topLeftCell="A2" zoomScale="110" zoomScaleNormal="110" workbookViewId="0">
      <selection activeCell="N4" sqref="N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1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34</v>
      </c>
      <c r="B2" s="306" t="s">
        <v>42</v>
      </c>
      <c r="C2" s="291" t="s">
        <v>76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110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100</v>
      </c>
      <c r="AM4" s="123">
        <f t="shared" ref="AM4" si="2">Q4+AI4</f>
        <v>2</v>
      </c>
      <c r="AN4" s="8">
        <f>IF(AL4=0," ",AL4/AM4)</f>
        <v>50</v>
      </c>
      <c r="AO4" s="94">
        <f>IF(AL4=0," ",AL4/(AM4*T4)*100)</f>
        <v>116.27906976744187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326</v>
      </c>
      <c r="AM5" s="95">
        <f t="shared" ref="AM5:AM18" si="11">Q5+AI5</f>
        <v>11</v>
      </c>
      <c r="AN5" s="11">
        <f t="shared" ref="AN5:AN18" si="12">IF(AL5=0," ",AL5/AM5)</f>
        <v>29.636363636363637</v>
      </c>
      <c r="AO5" s="12">
        <f t="shared" ref="AO5:AO18" si="13">IF(AL5=0," ",AL5/(AM5*T5)*100)</f>
        <v>105.84415584415585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/>
      <c r="P6" s="13">
        <f>SUM(C6:O6)</f>
        <v>386</v>
      </c>
      <c r="Q6" s="11">
        <f>COUNTIF(C6:O6,"&gt;0")</f>
        <v>10</v>
      </c>
      <c r="R6" s="11">
        <f t="shared" si="5"/>
        <v>38.6</v>
      </c>
      <c r="S6" s="12">
        <f t="shared" si="6"/>
        <v>91.904761904761898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386</v>
      </c>
      <c r="AM6" s="95">
        <f t="shared" si="11"/>
        <v>10</v>
      </c>
      <c r="AN6" s="11">
        <f t="shared" si="12"/>
        <v>38.6</v>
      </c>
      <c r="AO6" s="12">
        <f t="shared" si="13"/>
        <v>91.904761904761898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/>
      <c r="P7" s="13">
        <f t="shared" si="3"/>
        <v>540</v>
      </c>
      <c r="Q7" s="11">
        <f t="shared" si="4"/>
        <v>11</v>
      </c>
      <c r="R7" s="11">
        <f t="shared" si="5"/>
        <v>49.090909090909093</v>
      </c>
      <c r="S7" s="12">
        <f t="shared" si="6"/>
        <v>122.72727272727273</v>
      </c>
      <c r="T7" s="70">
        <v>40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540</v>
      </c>
      <c r="AM7" s="95">
        <f t="shared" si="11"/>
        <v>11</v>
      </c>
      <c r="AN7" s="11">
        <f t="shared" si="12"/>
        <v>49.090909090909093</v>
      </c>
      <c r="AO7" s="12">
        <f t="shared" si="13"/>
        <v>122.72727272727273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/>
      <c r="P8" s="13">
        <f t="shared" si="3"/>
        <v>161</v>
      </c>
      <c r="Q8" s="11">
        <f t="shared" si="4"/>
        <v>4</v>
      </c>
      <c r="R8" s="11">
        <f t="shared" si="5"/>
        <v>40.25</v>
      </c>
      <c r="S8" s="12">
        <f t="shared" si="6"/>
        <v>125.78125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161</v>
      </c>
      <c r="AM8" s="95">
        <f t="shared" si="11"/>
        <v>4</v>
      </c>
      <c r="AN8" s="11">
        <f t="shared" si="12"/>
        <v>40.25</v>
      </c>
      <c r="AO8" s="12">
        <f t="shared" si="13"/>
        <v>125.78125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362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91.627906976744185</v>
      </c>
      <c r="T10" s="131">
        <v>43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91.627906976744185</v>
      </c>
    </row>
    <row r="11" spans="1:41" s="10" customFormat="1" ht="20.100000000000001" customHeight="1" x14ac:dyDescent="0.3">
      <c r="A11" s="26" t="s">
        <v>352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/>
      <c r="P11" s="13">
        <f t="shared" si="3"/>
        <v>339</v>
      </c>
      <c r="Q11" s="11">
        <f t="shared" si="4"/>
        <v>8</v>
      </c>
      <c r="R11" s="11">
        <f t="shared" si="5"/>
        <v>42.375</v>
      </c>
      <c r="S11" s="12">
        <f t="shared" si="6"/>
        <v>121.07142857142857</v>
      </c>
      <c r="T11" s="131">
        <v>35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339</v>
      </c>
      <c r="AM11" s="95">
        <f t="shared" si="11"/>
        <v>8</v>
      </c>
      <c r="AN11" s="11">
        <f t="shared" si="12"/>
        <v>42.375</v>
      </c>
      <c r="AO11" s="12">
        <f t="shared" si="13"/>
        <v>121.07142857142857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/>
      <c r="P13" s="13">
        <f t="shared" si="3"/>
        <v>443</v>
      </c>
      <c r="Q13" s="11">
        <f t="shared" si="4"/>
        <v>9</v>
      </c>
      <c r="R13" s="11">
        <f t="shared" si="5"/>
        <v>49.222222222222221</v>
      </c>
      <c r="S13" s="12">
        <f t="shared" si="6"/>
        <v>109.38271604938272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443</v>
      </c>
      <c r="AM13" s="95">
        <f t="shared" si="11"/>
        <v>9</v>
      </c>
      <c r="AN13" s="11">
        <f t="shared" si="12"/>
        <v>49.222222222222221</v>
      </c>
      <c r="AO13" s="12">
        <f t="shared" si="13"/>
        <v>109.38271604938272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/>
      <c r="P14" s="13">
        <f t="shared" si="3"/>
        <v>216</v>
      </c>
      <c r="Q14" s="11">
        <f t="shared" si="4"/>
        <v>7</v>
      </c>
      <c r="R14" s="11">
        <f t="shared" si="5"/>
        <v>30.857142857142858</v>
      </c>
      <c r="S14" s="12">
        <f t="shared" si="6"/>
        <v>88.163265306122454</v>
      </c>
      <c r="T14" s="70">
        <v>35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216</v>
      </c>
      <c r="AM14" s="95">
        <f t="shared" si="11"/>
        <v>7</v>
      </c>
      <c r="AN14" s="11">
        <f t="shared" si="12"/>
        <v>30.857142857142858</v>
      </c>
      <c r="AO14" s="12">
        <f t="shared" si="13"/>
        <v>88.163265306122454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176</v>
      </c>
      <c r="AM15" s="95">
        <f t="shared" si="11"/>
        <v>3</v>
      </c>
      <c r="AN15" s="11">
        <f t="shared" si="12"/>
        <v>58.666666666666664</v>
      </c>
      <c r="AO15" s="12">
        <f t="shared" si="13"/>
        <v>117.33333333333333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0</v>
      </c>
      <c r="P19" s="19">
        <f t="shared" si="15"/>
        <v>3217</v>
      </c>
      <c r="Q19" s="19">
        <f t="shared" si="15"/>
        <v>72</v>
      </c>
      <c r="R19" s="19">
        <f>P19/Q19</f>
        <v>44.680555555555557</v>
      </c>
      <c r="S19" s="22"/>
      <c r="T19" s="179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3217</v>
      </c>
      <c r="AM19" s="18">
        <f>SUM(AM4:AM18)</f>
        <v>72</v>
      </c>
      <c r="AN19" s="18">
        <f t="shared" ref="AN19" si="18">AL19/AM19</f>
        <v>44.680555555555557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AD34" sqref="AD3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0" t="s">
        <v>283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1"/>
      <c r="AL1" s="302" t="s">
        <v>41</v>
      </c>
      <c r="AM1" s="302"/>
      <c r="AN1" s="302"/>
      <c r="AO1" s="303"/>
    </row>
    <row r="2" spans="1:41" ht="121.5" customHeight="1" thickBot="1" x14ac:dyDescent="0.35">
      <c r="A2" s="304" t="s">
        <v>297</v>
      </c>
      <c r="B2" s="306" t="s">
        <v>42</v>
      </c>
      <c r="C2" s="291" t="s">
        <v>166</v>
      </c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9"/>
      <c r="P2" s="310" t="s">
        <v>44</v>
      </c>
      <c r="Q2" s="312" t="s">
        <v>45</v>
      </c>
      <c r="R2" s="312" t="s">
        <v>46</v>
      </c>
      <c r="S2" s="314" t="s">
        <v>284</v>
      </c>
      <c r="T2" s="316" t="s">
        <v>47</v>
      </c>
      <c r="U2" s="291" t="s">
        <v>128</v>
      </c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3"/>
      <c r="AH2" s="294" t="s">
        <v>44</v>
      </c>
      <c r="AI2" s="296" t="s">
        <v>45</v>
      </c>
      <c r="AJ2" s="298" t="s">
        <v>49</v>
      </c>
      <c r="AK2" s="75"/>
      <c r="AL2" s="294" t="s">
        <v>44</v>
      </c>
      <c r="AM2" s="296" t="s">
        <v>45</v>
      </c>
      <c r="AN2" s="296" t="s">
        <v>50</v>
      </c>
      <c r="AO2" s="298" t="s">
        <v>284</v>
      </c>
    </row>
    <row r="3" spans="1:41" ht="15" customHeight="1" thickBot="1" x14ac:dyDescent="0.35">
      <c r="A3" s="305"/>
      <c r="B3" s="30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1"/>
      <c r="Q3" s="313"/>
      <c r="R3" s="313"/>
      <c r="S3" s="315"/>
      <c r="T3" s="317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5"/>
      <c r="AI3" s="297"/>
      <c r="AJ3" s="299"/>
      <c r="AK3" s="76"/>
      <c r="AL3" s="295"/>
      <c r="AM3" s="297"/>
      <c r="AN3" s="297"/>
      <c r="AO3" s="299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201</v>
      </c>
      <c r="AM4" s="123">
        <f t="shared" si="1"/>
        <v>7</v>
      </c>
      <c r="AN4" s="8">
        <f>IF(AL4=0," ",AL4/AM4)</f>
        <v>28.714285714285715</v>
      </c>
      <c r="AO4" s="94">
        <f>IF(AL4=0," ",AL4/(AM4*T4)*100)</f>
        <v>99.01477832512316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/>
      <c r="P5" s="13">
        <f t="shared" ref="P5:P18" si="2">SUM(C5:O5)</f>
        <v>270</v>
      </c>
      <c r="Q5" s="11">
        <f t="shared" ref="Q5:Q18" si="3">COUNTIF(C5:O5,"&gt;0")</f>
        <v>6</v>
      </c>
      <c r="R5" s="11">
        <f t="shared" ref="R5:R18" si="4">IF(P5=0," ",P5/Q5)</f>
        <v>45</v>
      </c>
      <c r="S5" s="12">
        <f t="shared" si="0"/>
        <v>125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270</v>
      </c>
      <c r="AM5" s="95">
        <f t="shared" si="1"/>
        <v>6</v>
      </c>
      <c r="AN5" s="11">
        <f t="shared" ref="AN5:AN18" si="8">IF(AL5=0," ",AL5/AM5)</f>
        <v>45</v>
      </c>
      <c r="AO5" s="12">
        <f t="shared" ref="AO5:AO18" si="9">IF(AL5=0," ",AL5/(AM5*T5)*100)</f>
        <v>125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/>
      <c r="P6" s="13">
        <f t="shared" si="2"/>
        <v>317</v>
      </c>
      <c r="Q6" s="11">
        <f t="shared" si="3"/>
        <v>8</v>
      </c>
      <c r="R6" s="11">
        <f t="shared" si="4"/>
        <v>39.625</v>
      </c>
      <c r="S6" s="12">
        <f t="shared" si="0"/>
        <v>86.141304347826093</v>
      </c>
      <c r="T6" s="70">
        <v>46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317</v>
      </c>
      <c r="AM6" s="95">
        <f t="shared" si="1"/>
        <v>8</v>
      </c>
      <c r="AN6" s="11">
        <f t="shared" si="8"/>
        <v>39.625</v>
      </c>
      <c r="AO6" s="12">
        <f t="shared" si="9"/>
        <v>86.141304347826093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/>
      <c r="P7" s="13">
        <f t="shared" si="2"/>
        <v>206</v>
      </c>
      <c r="Q7" s="11">
        <f t="shared" si="3"/>
        <v>6</v>
      </c>
      <c r="R7" s="11">
        <f t="shared" si="4"/>
        <v>34.333333333333336</v>
      </c>
      <c r="S7" s="12">
        <f t="shared" si="0"/>
        <v>104.04040404040404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206</v>
      </c>
      <c r="AM7" s="95">
        <f t="shared" si="1"/>
        <v>6</v>
      </c>
      <c r="AN7" s="11">
        <f t="shared" si="8"/>
        <v>34.333333333333336</v>
      </c>
      <c r="AO7" s="12">
        <f t="shared" si="9"/>
        <v>104.04040404040404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/>
      <c r="P8" s="13">
        <f t="shared" si="2"/>
        <v>152</v>
      </c>
      <c r="Q8" s="11">
        <f t="shared" si="3"/>
        <v>8</v>
      </c>
      <c r="R8" s="11">
        <f t="shared" si="4"/>
        <v>19</v>
      </c>
      <c r="S8" s="12">
        <f t="shared" si="0"/>
        <v>79.166666666666657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152</v>
      </c>
      <c r="AM8" s="95">
        <f t="shared" si="1"/>
        <v>8</v>
      </c>
      <c r="AN8" s="11">
        <f t="shared" si="8"/>
        <v>19</v>
      </c>
      <c r="AO8" s="12">
        <f t="shared" si="9"/>
        <v>79.166666666666657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171</v>
      </c>
      <c r="AM9" s="95">
        <f t="shared" si="1"/>
        <v>8</v>
      </c>
      <c r="AN9" s="11">
        <f t="shared" si="8"/>
        <v>21.375</v>
      </c>
      <c r="AO9" s="12">
        <f t="shared" si="9"/>
        <v>92.934782608695656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245</v>
      </c>
      <c r="AM10" s="95">
        <f t="shared" si="1"/>
        <v>8</v>
      </c>
      <c r="AN10" s="11">
        <f t="shared" si="8"/>
        <v>30.625</v>
      </c>
      <c r="AO10" s="12">
        <f t="shared" si="9"/>
        <v>117.78846153846155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/>
      <c r="P11" s="13">
        <f t="shared" si="2"/>
        <v>215</v>
      </c>
      <c r="Q11" s="11">
        <f t="shared" si="3"/>
        <v>6</v>
      </c>
      <c r="R11" s="11">
        <f t="shared" si="4"/>
        <v>35.833333333333336</v>
      </c>
      <c r="S11" s="12">
        <f t="shared" si="0"/>
        <v>81.439393939393938</v>
      </c>
      <c r="T11" s="70">
        <v>44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215</v>
      </c>
      <c r="AM11" s="95">
        <f t="shared" si="1"/>
        <v>6</v>
      </c>
      <c r="AN11" s="11">
        <f t="shared" si="8"/>
        <v>35.833333333333336</v>
      </c>
      <c r="AO11" s="12">
        <f t="shared" si="9"/>
        <v>81.439393939393938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245</v>
      </c>
      <c r="AM12" s="95">
        <f t="shared" si="1"/>
        <v>9</v>
      </c>
      <c r="AN12" s="11">
        <f t="shared" si="8"/>
        <v>27.222222222222221</v>
      </c>
      <c r="AO12" s="12">
        <f t="shared" si="9"/>
        <v>97.222222222222214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/>
      <c r="P13" s="13">
        <f t="shared" si="2"/>
        <v>197</v>
      </c>
      <c r="Q13" s="11">
        <f t="shared" si="3"/>
        <v>6</v>
      </c>
      <c r="R13" s="11">
        <f t="shared" si="4"/>
        <v>32.833333333333336</v>
      </c>
      <c r="S13" s="12">
        <f t="shared" si="0"/>
        <v>96.568627450980387</v>
      </c>
      <c r="T13" s="70">
        <v>34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197</v>
      </c>
      <c r="AM13" s="95">
        <f t="shared" si="1"/>
        <v>6</v>
      </c>
      <c r="AN13" s="11">
        <f t="shared" si="8"/>
        <v>32.833333333333336</v>
      </c>
      <c r="AO13" s="12">
        <f t="shared" si="9"/>
        <v>96.568627450980387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0</v>
      </c>
      <c r="P19" s="19">
        <f t="shared" si="11"/>
        <v>2219</v>
      </c>
      <c r="Q19" s="19">
        <f t="shared" si="11"/>
        <v>72</v>
      </c>
      <c r="R19" s="19">
        <f t="shared" si="11"/>
        <v>314.56150793650795</v>
      </c>
      <c r="S19" s="22"/>
      <c r="T19" s="179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2219</v>
      </c>
      <c r="AM19" s="18">
        <f>SUM(AM4:AM18)</f>
        <v>72</v>
      </c>
      <c r="AN19" s="18">
        <f t="shared" ref="AN19" si="13">AL19/AM19</f>
        <v>30.819444444444443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L6" sqref="L6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3.7773437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306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1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173">
        <f>Kerkuilen!T16</f>
        <v>15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173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3" t="str">
        <f>Meeuwen2!A12</f>
        <v>Present Marc [NS 20]</v>
      </c>
      <c r="C29" s="173">
        <f>Meeuwen2!T12</f>
        <v>22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462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1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173">
        <f>Oudeglorie!T13</f>
        <v>26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395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175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3" t="str">
        <f>Rooiebal2!A14</f>
        <v>Konings Kamiel [NS 20]</v>
      </c>
      <c r="C67" s="1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3" t="str">
        <f>Wildert1!A16</f>
        <v xml:space="preserve">Wetzer Rik [NS 20] </v>
      </c>
      <c r="I69" s="1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297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3" t="str">
        <f>Wildert2!A10</f>
        <v>Peeters Hugo [NS 36]</v>
      </c>
      <c r="C81" s="173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2" t="str">
        <f>Wildert2!A11</f>
        <v xml:space="preserve">Scholtis Vic  [NS 49] </v>
      </c>
      <c r="C82" s="173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6" t="s">
        <v>333</v>
      </c>
      <c r="D2" s="326"/>
      <c r="E2" s="326"/>
      <c r="F2" s="326"/>
      <c r="G2" s="326"/>
      <c r="H2" s="326"/>
      <c r="I2" s="326"/>
    </row>
    <row r="3" spans="1:26" s="59" customFormat="1" ht="20.100000000000001" customHeight="1" x14ac:dyDescent="0.4">
      <c r="A3"/>
      <c r="C3" s="327" t="s">
        <v>198</v>
      </c>
      <c r="D3" s="327"/>
      <c r="E3" s="327"/>
      <c r="F3" s="327"/>
      <c r="G3" s="327"/>
      <c r="H3" s="327"/>
      <c r="I3" s="327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328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328</v>
      </c>
      <c r="D9" s="186" t="s">
        <v>55</v>
      </c>
      <c r="E9" s="186" t="s">
        <v>321</v>
      </c>
      <c r="F9" s="187">
        <v>2910</v>
      </c>
      <c r="G9" s="187" t="s">
        <v>200</v>
      </c>
      <c r="H9" s="188"/>
      <c r="I9" s="186" t="s">
        <v>343</v>
      </c>
      <c r="J9" s="189" t="s">
        <v>326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322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328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328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328</v>
      </c>
      <c r="D18" s="196" t="s">
        <v>329</v>
      </c>
      <c r="E18" s="196" t="s">
        <v>323</v>
      </c>
      <c r="F18" s="197">
        <v>2910</v>
      </c>
      <c r="G18" s="197" t="s">
        <v>200</v>
      </c>
      <c r="H18" s="199" t="s">
        <v>203</v>
      </c>
      <c r="I18" s="198" t="s">
        <v>324</v>
      </c>
      <c r="J18" s="200" t="s">
        <v>325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328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127</v>
      </c>
      <c r="I21" s="193" t="s">
        <v>214</v>
      </c>
      <c r="J21" s="189" t="s">
        <v>215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 t="s">
        <v>203</v>
      </c>
      <c r="I22" s="193" t="s">
        <v>216</v>
      </c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217</v>
      </c>
      <c r="C24" s="196" t="s">
        <v>328</v>
      </c>
      <c r="D24" s="196" t="s">
        <v>122</v>
      </c>
      <c r="E24" s="196" t="s">
        <v>218</v>
      </c>
      <c r="F24" s="197">
        <v>2910</v>
      </c>
      <c r="G24" s="197" t="s">
        <v>200</v>
      </c>
      <c r="H24" s="199" t="s">
        <v>203</v>
      </c>
      <c r="I24" s="198" t="s">
        <v>219</v>
      </c>
      <c r="J24" s="200" t="s">
        <v>220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221</v>
      </c>
      <c r="C26" s="193" t="s">
        <v>328</v>
      </c>
      <c r="D26" s="193" t="s">
        <v>72</v>
      </c>
      <c r="E26" s="193" t="s">
        <v>222</v>
      </c>
      <c r="F26" s="194">
        <v>2910</v>
      </c>
      <c r="G26" s="194" t="s">
        <v>200</v>
      </c>
      <c r="H26" s="195"/>
      <c r="I26" s="193" t="s">
        <v>223</v>
      </c>
      <c r="J26" s="189" t="s">
        <v>224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328</v>
      </c>
      <c r="D29" s="181" t="s">
        <v>150</v>
      </c>
      <c r="E29" s="181" t="s">
        <v>339</v>
      </c>
      <c r="F29" s="182">
        <v>2950</v>
      </c>
      <c r="G29" s="182" t="s">
        <v>340</v>
      </c>
      <c r="H29" s="183" t="s">
        <v>203</v>
      </c>
      <c r="I29" s="181" t="s">
        <v>327</v>
      </c>
      <c r="J29" s="184" t="s">
        <v>225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226</v>
      </c>
      <c r="C32" s="193" t="s">
        <v>328</v>
      </c>
      <c r="D32" s="203" t="s">
        <v>364</v>
      </c>
      <c r="E32" s="203" t="s">
        <v>365</v>
      </c>
      <c r="F32" s="204">
        <v>2910</v>
      </c>
      <c r="G32" s="204" t="s">
        <v>200</v>
      </c>
      <c r="H32" s="205" t="s">
        <v>203</v>
      </c>
      <c r="I32" s="203" t="s">
        <v>366</v>
      </c>
      <c r="J32" s="206" t="s">
        <v>367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227</v>
      </c>
      <c r="C34" s="196" t="s">
        <v>328</v>
      </c>
      <c r="D34" s="198" t="s">
        <v>162</v>
      </c>
      <c r="E34" s="198" t="s">
        <v>228</v>
      </c>
      <c r="F34" s="207">
        <v>2910</v>
      </c>
      <c r="G34" s="207" t="s">
        <v>200</v>
      </c>
      <c r="H34" s="199" t="s">
        <v>203</v>
      </c>
      <c r="I34" s="198" t="s">
        <v>229</v>
      </c>
      <c r="J34" s="200" t="s">
        <v>230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328</v>
      </c>
      <c r="D36" s="193" t="s">
        <v>170</v>
      </c>
      <c r="E36" s="193" t="s">
        <v>231</v>
      </c>
      <c r="F36" s="194">
        <v>2910</v>
      </c>
      <c r="G36" s="194" t="s">
        <v>200</v>
      </c>
      <c r="H36" s="195"/>
      <c r="I36" s="193" t="s">
        <v>232</v>
      </c>
      <c r="J36" s="189" t="s">
        <v>233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234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328</v>
      </c>
      <c r="D39" s="185" t="s">
        <v>182</v>
      </c>
      <c r="E39" s="185" t="s">
        <v>235</v>
      </c>
      <c r="F39" s="192">
        <v>2910</v>
      </c>
      <c r="G39" s="192" t="s">
        <v>200</v>
      </c>
      <c r="H39" s="183"/>
      <c r="I39" s="181" t="s">
        <v>236</v>
      </c>
      <c r="J39" s="184" t="s">
        <v>237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331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292</v>
      </c>
      <c r="C42" s="193" t="s">
        <v>328</v>
      </c>
      <c r="D42" s="201" t="s">
        <v>187</v>
      </c>
      <c r="E42" s="203" t="s">
        <v>295</v>
      </c>
      <c r="F42" s="202">
        <v>2910</v>
      </c>
      <c r="G42" s="202" t="s">
        <v>200</v>
      </c>
      <c r="H42" s="205" t="s">
        <v>203</v>
      </c>
      <c r="I42" s="203" t="s">
        <v>332</v>
      </c>
      <c r="J42" s="206" t="s">
        <v>330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6" t="s">
        <v>304</v>
      </c>
      <c r="C2" s="326"/>
      <c r="D2" s="326"/>
      <c r="E2" s="326"/>
      <c r="F2" s="326"/>
      <c r="G2" s="326"/>
      <c r="H2" s="326"/>
      <c r="J2" s="114"/>
    </row>
    <row r="3" spans="2:10" s="59" customFormat="1" ht="24.9" customHeight="1" x14ac:dyDescent="0.4">
      <c r="B3" s="326" t="s">
        <v>238</v>
      </c>
      <c r="C3" s="326"/>
      <c r="D3" s="326"/>
      <c r="E3" s="326"/>
      <c r="F3" s="326"/>
      <c r="G3" s="326"/>
      <c r="H3" s="326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292</v>
      </c>
      <c r="C19" s="61" t="s">
        <v>293</v>
      </c>
      <c r="D19" s="61" t="s">
        <v>294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345</v>
      </c>
      <c r="I30" s="60" t="s">
        <v>344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2025-12-06T07:00:55Z</cp:lastPrinted>
  <dcterms:created xsi:type="dcterms:W3CDTF">2017-09-04T07:39:22Z</dcterms:created>
  <dcterms:modified xsi:type="dcterms:W3CDTF">2025-12-12T00:03:47Z</dcterms:modified>
  <cp:category/>
  <cp:contentStatus/>
</cp:coreProperties>
</file>